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9\SAIBA\CALK II\"/>
    </mc:Choice>
  </mc:AlternateContent>
  <bookViews>
    <workbookView xWindow="-1040" yWindow="630" windowWidth="19770" windowHeight="7730" tabRatio="921" firstSheet="4" activeTab="6"/>
  </bookViews>
  <sheets>
    <sheet name="Data_Input" sheetId="1" state="hidden" r:id="rId1"/>
    <sheet name="data" sheetId="2" state="hidden" r:id="rId2"/>
    <sheet name="referensi" sheetId="3" state="hidden" r:id="rId3"/>
    <sheet name="Rekap_Real_per_Akun" sheetId="23" state="hidden" r:id="rId4"/>
    <sheet name="Input" sheetId="4" r:id="rId5"/>
    <sheet name="1 cover" sheetId="5" r:id="rId6"/>
    <sheet name="2 kata" sheetId="6" r:id="rId7"/>
    <sheet name="3 isi" sheetId="7" r:id="rId8"/>
    <sheet name="4 tabel" sheetId="17" r:id="rId9"/>
    <sheet name="5 sor" sheetId="8" r:id="rId10"/>
    <sheet name="6 ringkasan" sheetId="9" r:id="rId11"/>
    <sheet name="7 lra" sheetId="10" r:id="rId12"/>
    <sheet name="8 neraca (PMK.177)" sheetId="11" state="hidden" r:id="rId13"/>
    <sheet name="8 neraca" sheetId="25" r:id="rId14"/>
    <sheet name="9 LO" sheetId="12" r:id="rId15"/>
    <sheet name="10 LPE" sheetId="24" r:id="rId16"/>
    <sheet name="11 calk" sheetId="14" r:id="rId17"/>
    <sheet name="12 calk lra" sheetId="15" r:id="rId18"/>
    <sheet name="13 calk neraca" sheetId="16" r:id="rId19"/>
    <sheet name="14 calk LO" sheetId="18" r:id="rId20"/>
    <sheet name="15 calk LPE" sheetId="20" r:id="rId21"/>
    <sheet name="16 Pengungkapan Lainnya" sheetId="21" r:id="rId22"/>
    <sheet name="lampiran" sheetId="26" r:id="rId23"/>
    <sheet name="Sheet1" sheetId="27" r:id="rId24"/>
  </sheets>
  <definedNames>
    <definedName name="aa" localSheetId="15">#REF!</definedName>
    <definedName name="aa" localSheetId="13">#REF!</definedName>
    <definedName name="aa">#REF!</definedName>
    <definedName name="ba">referensi!$F$2:$G$53</definedName>
    <definedName name="barang">Input!$O$225:$AB$236</definedName>
    <definedName name="eselon1">referensi!$P$2:$Q$270</definedName>
    <definedName name="jk">referensi!$L$2:$M$6</definedName>
    <definedName name="LRA" localSheetId="15">#REF!</definedName>
    <definedName name="LRA" localSheetId="19">#REF!</definedName>
    <definedName name="LRA" localSheetId="20">#REF!</definedName>
    <definedName name="LRA" localSheetId="21">#REF!</definedName>
    <definedName name="LRA" localSheetId="13">#REF!</definedName>
    <definedName name="LRA">#REF!</definedName>
    <definedName name="modal">Input!$O$387:$AB$395</definedName>
    <definedName name="NER" localSheetId="15">#REF!</definedName>
    <definedName name="NER" localSheetId="19">#REF!</definedName>
    <definedName name="NER" localSheetId="20">#REF!</definedName>
    <definedName name="NER" localSheetId="21">#REF!</definedName>
    <definedName name="NER" localSheetId="13">#REF!</definedName>
    <definedName name="NER">#REF!</definedName>
    <definedName name="pegawai">Input!$O$138:$AB$146</definedName>
    <definedName name="Periode" localSheetId="15">#REF!</definedName>
    <definedName name="Periode" localSheetId="19">#REF!</definedName>
    <definedName name="Periode" localSheetId="20">#REF!</definedName>
    <definedName name="Periode" localSheetId="21">#REF!</definedName>
    <definedName name="Periode" localSheetId="13">#REF!</definedName>
    <definedName name="Periode">#REF!</definedName>
    <definedName name="_xlnm.Print_Area" localSheetId="15">'10 LPE'!$A$1:$J$24</definedName>
    <definedName name="_xlnm.Print_Area" localSheetId="16">'11 calk'!$A$1:$J$322</definedName>
    <definedName name="_xlnm.Print_Area" localSheetId="17">'12 calk lra'!$A$1:$H$276</definedName>
    <definedName name="_xlnm.Print_Area" localSheetId="18">'13 calk neraca'!$A$1:$I$493</definedName>
    <definedName name="_xlnm.Print_Area" localSheetId="6">'2 kata'!$B$1:$K$46</definedName>
    <definedName name="_xlnm.Print_Area" localSheetId="9">'5 sor'!$A$1:$I$47</definedName>
    <definedName name="_xlnm.Print_Area" localSheetId="10">'6 ringkasan'!$A$1:$E$69</definedName>
    <definedName name="_xlnm.Print_Area" localSheetId="11">'7 lra'!$A$1:$J$22</definedName>
    <definedName name="_xlnm.Print_Area" localSheetId="13">'8 neraca'!$A$1:$H$57</definedName>
    <definedName name="_xlnm.Print_Area" localSheetId="12">'8 neraca (PMK.177)'!$A$1:$H$59</definedName>
    <definedName name="_xlnm.Print_Area" localSheetId="14">'9 LO'!$A$1:$J$53</definedName>
    <definedName name="_xlnm.Print_Titles" localSheetId="13">'8 neraca'!$1:$9</definedName>
    <definedName name="_xlnm.Print_Titles" localSheetId="12">'8 neraca (PMK.177)'!$1:$9</definedName>
    <definedName name="_xlnm.Print_Titles" localSheetId="14">'9 LO'!$1:$9</definedName>
    <definedName name="satker">referensi!$B$2:$D$417</definedName>
  </definedNames>
  <calcPr calcId="152511"/>
  <customWorkbookViews>
    <customWorkbookView name="Microsoft Office - Personal View" guid="{EBF27D8D-2DD9-43E5-8C42-19F0B73014F5}" mergeInterval="0" personalView="1" maximized="1" xWindow="1" yWindow="1" windowWidth="1280" windowHeight="477" tabRatio="921" activeSheetId="4"/>
  </customWorkbookViews>
</workbook>
</file>

<file path=xl/calcChain.xml><?xml version="1.0" encoding="utf-8"?>
<calcChain xmlns="http://schemas.openxmlformats.org/spreadsheetml/2006/main">
  <c r="A151" i="18" l="1"/>
  <c r="F196" i="18"/>
  <c r="F201" i="18" s="1"/>
  <c r="E199" i="18"/>
  <c r="E196" i="18"/>
  <c r="F134" i="18"/>
  <c r="E134" i="18"/>
  <c r="A121" i="18"/>
  <c r="A105" i="18"/>
  <c r="B107" i="18"/>
  <c r="F117" i="18"/>
  <c r="F116" i="18"/>
  <c r="F115" i="18"/>
  <c r="F114" i="18"/>
  <c r="A89" i="18"/>
  <c r="E116" i="18"/>
  <c r="E117" i="18"/>
  <c r="F98" i="18"/>
  <c r="F99" i="18"/>
  <c r="B91" i="18"/>
  <c r="A59" i="18"/>
  <c r="F83" i="18"/>
  <c r="E83" i="18"/>
  <c r="F81" i="18"/>
  <c r="F82" i="18"/>
  <c r="F80" i="18"/>
  <c r="F78" i="18"/>
  <c r="F77" i="18"/>
  <c r="F76" i="18"/>
  <c r="F75" i="18"/>
  <c r="F74" i="18"/>
  <c r="F73" i="18"/>
  <c r="F72" i="18"/>
  <c r="F71" i="18"/>
  <c r="F69" i="18"/>
  <c r="E82" i="18"/>
  <c r="E81" i="18"/>
  <c r="F54" i="18"/>
  <c r="E54" i="18"/>
  <c r="F42" i="18"/>
  <c r="F36" i="18"/>
  <c r="E36" i="18"/>
  <c r="D386" i="16"/>
  <c r="D384" i="16"/>
  <c r="D383" i="16"/>
  <c r="F215" i="15" l="1"/>
  <c r="E215" i="15"/>
  <c r="E166" i="15"/>
  <c r="G19" i="15"/>
  <c r="G18" i="15"/>
  <c r="G17" i="15"/>
  <c r="I22" i="24"/>
  <c r="H22" i="24"/>
  <c r="H16" i="24"/>
  <c r="I12" i="24"/>
  <c r="H12" i="24"/>
  <c r="I10" i="24"/>
  <c r="I41" i="12"/>
  <c r="I35" i="12"/>
  <c r="I33" i="12"/>
  <c r="A5" i="8"/>
  <c r="B1" i="6"/>
  <c r="M810" i="4"/>
  <c r="M798" i="4"/>
  <c r="M787" i="4"/>
  <c r="L780" i="4"/>
  <c r="M781" i="4"/>
  <c r="K718" i="4" l="1"/>
  <c r="B623" i="4"/>
  <c r="T602" i="4"/>
  <c r="T601" i="4"/>
  <c r="K601" i="4"/>
  <c r="K558" i="4"/>
  <c r="E171" i="18" l="1"/>
  <c r="F166" i="18"/>
  <c r="F135" i="18"/>
  <c r="F103" i="18"/>
  <c r="F87" i="18"/>
  <c r="A1" i="9" l="1"/>
  <c r="M821" i="4"/>
  <c r="P38" i="4" l="1"/>
  <c r="B54" i="20" l="1"/>
  <c r="A45" i="18" l="1"/>
  <c r="E31" i="18"/>
  <c r="B249" i="16"/>
  <c r="A1" i="10" l="1"/>
  <c r="B7" i="20"/>
  <c r="L821" i="4"/>
  <c r="H23" i="24" s="1"/>
  <c r="M717" i="4" l="1"/>
  <c r="O717" i="4" s="1"/>
  <c r="D135" i="4" l="1"/>
  <c r="F256" i="16" l="1"/>
  <c r="E51" i="20"/>
  <c r="E97" i="20" l="1"/>
  <c r="B61" i="18"/>
  <c r="F14" i="18"/>
  <c r="F118" i="18" l="1"/>
  <c r="E77" i="18" l="1"/>
  <c r="E78" i="18"/>
  <c r="E76" i="18"/>
  <c r="F40" i="18"/>
  <c r="F38" i="18"/>
  <c r="F37" i="18"/>
  <c r="F33" i="18"/>
  <c r="F34" i="18"/>
  <c r="F35" i="18"/>
  <c r="F41" i="18"/>
  <c r="F31" i="18"/>
  <c r="E42" i="18"/>
  <c r="E41" i="18"/>
  <c r="E40" i="18"/>
  <c r="E39" i="18"/>
  <c r="E38" i="18"/>
  <c r="E37" i="18"/>
  <c r="E33" i="18"/>
  <c r="E34" i="18"/>
  <c r="E35" i="18"/>
  <c r="A158" i="16"/>
  <c r="M811" i="4" l="1"/>
  <c r="M226" i="4"/>
  <c r="M227" i="4"/>
  <c r="M228" i="4"/>
  <c r="M229" i="4"/>
  <c r="M230" i="4"/>
  <c r="M231" i="4"/>
  <c r="M232" i="4"/>
  <c r="B381" i="16" l="1"/>
  <c r="Z144" i="4" l="1"/>
  <c r="I34" i="12"/>
  <c r="M780" i="4" l="1"/>
  <c r="A1" i="26" l="1"/>
  <c r="B69" i="20" l="1"/>
  <c r="B45" i="20"/>
  <c r="F210" i="18"/>
  <c r="F195" i="18"/>
  <c r="F181" i="18"/>
  <c r="F161" i="18"/>
  <c r="B160" i="18"/>
  <c r="F145" i="18"/>
  <c r="B144" i="18"/>
  <c r="B139" i="18"/>
  <c r="F131" i="18"/>
  <c r="F113" i="18"/>
  <c r="B112" i="18"/>
  <c r="F97" i="18"/>
  <c r="B96" i="18"/>
  <c r="F68" i="18"/>
  <c r="B67" i="18"/>
  <c r="F53" i="18"/>
  <c r="B52" i="18"/>
  <c r="B47" i="18"/>
  <c r="F30" i="18"/>
  <c r="F11" i="18"/>
  <c r="E210" i="18"/>
  <c r="B209" i="18"/>
  <c r="E195" i="18"/>
  <c r="B194" i="18"/>
  <c r="E181" i="18"/>
  <c r="E161" i="18"/>
  <c r="E145" i="18"/>
  <c r="E131" i="18"/>
  <c r="B130" i="18"/>
  <c r="E113" i="18"/>
  <c r="E97" i="18"/>
  <c r="E68" i="18"/>
  <c r="E53" i="18"/>
  <c r="E30" i="18"/>
  <c r="E11" i="18"/>
  <c r="B29" i="18"/>
  <c r="B10" i="18"/>
  <c r="B22" i="18"/>
  <c r="F484" i="16"/>
  <c r="E484" i="16"/>
  <c r="B482" i="16"/>
  <c r="B395" i="16"/>
  <c r="B298" i="16"/>
  <c r="B263" i="16"/>
  <c r="F64" i="16"/>
  <c r="F50" i="16"/>
  <c r="F14" i="16"/>
  <c r="B416" i="16"/>
  <c r="B399" i="16"/>
  <c r="B350" i="16"/>
  <c r="B331" i="16"/>
  <c r="F202" i="16"/>
  <c r="E202" i="16"/>
  <c r="E190" i="16"/>
  <c r="F190" i="16"/>
  <c r="F168" i="16"/>
  <c r="F153" i="16"/>
  <c r="E168" i="16"/>
  <c r="E153" i="16"/>
  <c r="F138" i="16"/>
  <c r="F92" i="16"/>
  <c r="F78" i="16"/>
  <c r="E50" i="16"/>
  <c r="B201" i="16"/>
  <c r="B189" i="16"/>
  <c r="B167" i="16"/>
  <c r="B152" i="16"/>
  <c r="B137" i="16"/>
  <c r="C108" i="16"/>
  <c r="B100" i="16"/>
  <c r="B91" i="16"/>
  <c r="C77" i="16"/>
  <c r="B63" i="16"/>
  <c r="B49" i="16"/>
  <c r="B27" i="16"/>
  <c r="B13" i="16"/>
  <c r="E138" i="16"/>
  <c r="E92" i="16"/>
  <c r="E78" i="16"/>
  <c r="E64" i="16"/>
  <c r="E14" i="16"/>
  <c r="F245" i="15"/>
  <c r="E245" i="15"/>
  <c r="F229" i="15"/>
  <c r="E229" i="15"/>
  <c r="F214" i="15"/>
  <c r="E214" i="15"/>
  <c r="F199" i="15"/>
  <c r="E199" i="15"/>
  <c r="E181" i="15"/>
  <c r="F181" i="15"/>
  <c r="F163" i="15"/>
  <c r="E163" i="15"/>
  <c r="F138" i="15"/>
  <c r="E138" i="15"/>
  <c r="E118" i="15"/>
  <c r="C264" i="15"/>
  <c r="C242" i="15"/>
  <c r="C226" i="15"/>
  <c r="C211" i="15"/>
  <c r="C197" i="15"/>
  <c r="C179" i="15"/>
  <c r="C161" i="15"/>
  <c r="C136" i="15"/>
  <c r="C96" i="15"/>
  <c r="C116" i="15"/>
  <c r="F118" i="15"/>
  <c r="F10" i="15"/>
  <c r="E31" i="15"/>
  <c r="E65" i="15"/>
  <c r="C64" i="15"/>
  <c r="F48" i="15"/>
  <c r="E48" i="15"/>
  <c r="C46" i="15"/>
  <c r="C6" i="15"/>
  <c r="I9" i="24"/>
  <c r="H9" i="24"/>
  <c r="G9" i="25"/>
  <c r="F10" i="10"/>
  <c r="I10" i="10"/>
  <c r="K685" i="4"/>
  <c r="F28" i="16" l="1"/>
  <c r="E28" i="16"/>
  <c r="K684" i="4"/>
  <c r="K647" i="4"/>
  <c r="C49" i="17" l="1"/>
  <c r="F116" i="20" l="1"/>
  <c r="A52" i="20"/>
  <c r="A67" i="20"/>
  <c r="A16" i="20"/>
  <c r="H40" i="18" l="1"/>
  <c r="G43" i="18"/>
  <c r="H38" i="18"/>
  <c r="H37" i="18"/>
  <c r="H35" i="18"/>
  <c r="H34" i="18"/>
  <c r="H33" i="18" l="1"/>
  <c r="H21" i="15"/>
  <c r="G21" i="15"/>
  <c r="F21" i="15"/>
  <c r="G15" i="15"/>
  <c r="F15" i="15"/>
  <c r="I19" i="24"/>
  <c r="I18" i="24"/>
  <c r="I17" i="24"/>
  <c r="H19" i="24"/>
  <c r="H18" i="24"/>
  <c r="I15" i="24"/>
  <c r="I14" i="24"/>
  <c r="I13" i="24"/>
  <c r="H17" i="24"/>
  <c r="H15" i="24"/>
  <c r="H14" i="24"/>
  <c r="H13" i="24"/>
  <c r="L811" i="4"/>
  <c r="I20" i="24" l="1"/>
  <c r="H20" i="24"/>
  <c r="B205" i="18"/>
  <c r="B190" i="18"/>
  <c r="B180" i="18"/>
  <c r="B175" i="18"/>
  <c r="B153" i="18"/>
  <c r="H86" i="18"/>
  <c r="H85" i="18"/>
  <c r="H84" i="18"/>
  <c r="E439" i="16" l="1"/>
  <c r="F438" i="16"/>
  <c r="C265" i="16"/>
  <c r="E265" i="16"/>
  <c r="C268" i="16"/>
  <c r="E268" i="16"/>
  <c r="C269" i="16"/>
  <c r="E269" i="16"/>
  <c r="C271" i="16"/>
  <c r="E271" i="16"/>
  <c r="C270" i="16"/>
  <c r="E270" i="16"/>
  <c r="G248" i="15"/>
  <c r="G51" i="25"/>
  <c r="F51" i="25"/>
  <c r="D51" i="25"/>
  <c r="G50" i="25"/>
  <c r="F50" i="25"/>
  <c r="D50" i="25"/>
  <c r="G49" i="25"/>
  <c r="F49" i="25"/>
  <c r="D49" i="25"/>
  <c r="D48" i="25"/>
  <c r="G43" i="25"/>
  <c r="F43" i="25"/>
  <c r="C43" i="25"/>
  <c r="G42" i="25"/>
  <c r="F42" i="25"/>
  <c r="C42" i="25"/>
  <c r="G41" i="25"/>
  <c r="F41" i="25"/>
  <c r="C41" i="25"/>
  <c r="G37" i="25"/>
  <c r="F37" i="25"/>
  <c r="C37" i="25"/>
  <c r="G36" i="25"/>
  <c r="C36" i="25"/>
  <c r="G35" i="25"/>
  <c r="C35" i="25"/>
  <c r="C34" i="25"/>
  <c r="C33" i="25"/>
  <c r="C32" i="25"/>
  <c r="C31" i="25"/>
  <c r="G27" i="25"/>
  <c r="F27" i="25"/>
  <c r="C27" i="25"/>
  <c r="G26" i="25"/>
  <c r="F26" i="25"/>
  <c r="C26" i="25"/>
  <c r="G25" i="25"/>
  <c r="F25" i="25"/>
  <c r="C25" i="25"/>
  <c r="G21" i="25"/>
  <c r="F21" i="25"/>
  <c r="C21" i="25"/>
  <c r="G20" i="25"/>
  <c r="F20" i="25"/>
  <c r="C20" i="25"/>
  <c r="G19" i="25"/>
  <c r="F19" i="25"/>
  <c r="C19" i="25"/>
  <c r="G18" i="25"/>
  <c r="F18" i="25"/>
  <c r="C18" i="25"/>
  <c r="G17" i="25"/>
  <c r="F17" i="25"/>
  <c r="C17" i="25"/>
  <c r="G16" i="25"/>
  <c r="F16" i="25"/>
  <c r="C16" i="25"/>
  <c r="G15" i="25"/>
  <c r="F15" i="25"/>
  <c r="C15" i="25"/>
  <c r="C14" i="25"/>
  <c r="G13" i="25"/>
  <c r="F13" i="25"/>
  <c r="C13" i="25"/>
  <c r="G12" i="25"/>
  <c r="F12" i="25"/>
  <c r="C12" i="25"/>
  <c r="E129" i="20"/>
  <c r="E131" i="20" s="1"/>
  <c r="B124" i="20"/>
  <c r="B59" i="20"/>
  <c r="B30" i="20"/>
  <c r="A83" i="20"/>
  <c r="A43" i="20"/>
  <c r="F44" i="25" l="1"/>
  <c r="G44" i="25"/>
  <c r="F28" i="25"/>
  <c r="G28" i="25"/>
  <c r="A28" i="20"/>
  <c r="F353" i="16"/>
  <c r="F352" i="16"/>
  <c r="D114" i="14" l="1"/>
  <c r="H79" i="18" l="1"/>
  <c r="I21" i="24"/>
  <c r="H21" i="24"/>
  <c r="H10" i="24"/>
  <c r="L798" i="4"/>
  <c r="F357" i="16"/>
  <c r="F355" i="16" s="1"/>
  <c r="F354" i="16"/>
  <c r="F351" i="16" s="1"/>
  <c r="C9" i="17" l="1"/>
  <c r="F417" i="16" l="1"/>
  <c r="B1" i="25" l="1"/>
  <c r="B1" i="24"/>
  <c r="A1" i="15"/>
  <c r="A1" i="18"/>
  <c r="B1" i="11"/>
  <c r="A1" i="21"/>
  <c r="A1" i="7"/>
  <c r="A1" i="17"/>
  <c r="B1" i="12"/>
  <c r="A1" i="14"/>
  <c r="A1" i="16"/>
  <c r="A1" i="20"/>
  <c r="C60" i="17" l="1"/>
  <c r="C58" i="17"/>
  <c r="C53" i="17"/>
  <c r="C52" i="17"/>
  <c r="C51" i="17"/>
  <c r="C50" i="17"/>
  <c r="C48" i="17"/>
  <c r="C47" i="17"/>
  <c r="C46" i="17"/>
  <c r="C25" i="17"/>
  <c r="C24" i="17"/>
  <c r="C23" i="17"/>
  <c r="C22" i="17"/>
  <c r="C21" i="17"/>
  <c r="C20" i="17"/>
  <c r="C19" i="17"/>
  <c r="C18" i="17"/>
  <c r="C17" i="17"/>
  <c r="C16" i="17"/>
  <c r="C15" i="17"/>
  <c r="C14" i="17"/>
  <c r="C8" i="17"/>
  <c r="I614" i="4" l="1"/>
  <c r="A22" i="20"/>
  <c r="C57" i="17" l="1"/>
  <c r="C56" i="17"/>
  <c r="C55" i="17"/>
  <c r="C54" i="17"/>
  <c r="A430" i="16"/>
  <c r="F38" i="16"/>
  <c r="M11" i="4"/>
  <c r="Z386" i="4" l="1"/>
  <c r="W386" i="4"/>
  <c r="Z224" i="4"/>
  <c r="W224" i="4"/>
  <c r="W137" i="4"/>
  <c r="Z137" i="4"/>
  <c r="M13" i="4"/>
  <c r="M15" i="4"/>
  <c r="B128" i="18" l="1"/>
  <c r="C23" i="14"/>
  <c r="A13" i="8"/>
  <c r="C32" i="14"/>
  <c r="A6" i="9"/>
  <c r="C4" i="15"/>
  <c r="B5" i="25"/>
  <c r="B5" i="24"/>
  <c r="H213" i="18"/>
  <c r="H212" i="18"/>
  <c r="H211" i="18"/>
  <c r="H200" i="18"/>
  <c r="H198" i="18"/>
  <c r="H196" i="18"/>
  <c r="H183" i="18"/>
  <c r="H182" i="18"/>
  <c r="H169" i="18"/>
  <c r="H168" i="18"/>
  <c r="H165" i="18"/>
  <c r="H164" i="18"/>
  <c r="H163" i="18"/>
  <c r="H162" i="18"/>
  <c r="H148" i="18"/>
  <c r="H147" i="18"/>
  <c r="H146" i="18"/>
  <c r="H134" i="18"/>
  <c r="H101" i="18"/>
  <c r="H100" i="18"/>
  <c r="H82" i="18"/>
  <c r="H78" i="18"/>
  <c r="H77" i="18"/>
  <c r="H76" i="18"/>
  <c r="H70" i="18"/>
  <c r="H56" i="18"/>
  <c r="H55" i="18"/>
  <c r="H54" i="18"/>
  <c r="H42" i="18"/>
  <c r="H41" i="18"/>
  <c r="H13" i="18"/>
  <c r="H12" i="18"/>
  <c r="G230" i="15"/>
  <c r="M728" i="4"/>
  <c r="H31" i="18" l="1"/>
  <c r="F350" i="16"/>
  <c r="F358" i="16" s="1"/>
  <c r="F360" i="16" s="1"/>
  <c r="F487" i="16" l="1"/>
  <c r="A373" i="16" l="1"/>
  <c r="E81" i="20" l="1"/>
  <c r="E64" i="20"/>
  <c r="E41" i="20"/>
  <c r="A5" i="20" l="1"/>
  <c r="F214" i="18"/>
  <c r="E214" i="18"/>
  <c r="E201" i="18"/>
  <c r="A188" i="18" s="1"/>
  <c r="F184" i="18"/>
  <c r="E184" i="18"/>
  <c r="B183" i="18"/>
  <c r="B169" i="18"/>
  <c r="B163" i="18"/>
  <c r="F149" i="18"/>
  <c r="E149" i="18"/>
  <c r="B147" i="18"/>
  <c r="B133" i="18"/>
  <c r="B115" i="18"/>
  <c r="B99" i="18"/>
  <c r="F57" i="18"/>
  <c r="E57" i="18"/>
  <c r="E14" i="18"/>
  <c r="A489" i="16"/>
  <c r="E487" i="16"/>
  <c r="A477" i="16"/>
  <c r="E475" i="16"/>
  <c r="A465" i="16"/>
  <c r="A450" i="16"/>
  <c r="E441" i="16"/>
  <c r="D440" i="16"/>
  <c r="F440" i="16" s="1"/>
  <c r="B440" i="16"/>
  <c r="D437" i="16"/>
  <c r="D439" i="16" s="1"/>
  <c r="F439" i="16" s="1"/>
  <c r="B437" i="16"/>
  <c r="H214" i="18" l="1"/>
  <c r="H166" i="18"/>
  <c r="H149" i="18"/>
  <c r="H170" i="18"/>
  <c r="H57" i="18"/>
  <c r="H14" i="18"/>
  <c r="H201" i="18"/>
  <c r="A203" i="18"/>
  <c r="H184" i="18"/>
  <c r="B148" i="18"/>
  <c r="B134" i="18"/>
  <c r="D441" i="16"/>
  <c r="F171" i="18"/>
  <c r="A173" i="18"/>
  <c r="A137" i="18"/>
  <c r="F437" i="16"/>
  <c r="F441" i="16" s="1"/>
  <c r="F416" i="16"/>
  <c r="A409" i="16"/>
  <c r="F399" i="16"/>
  <c r="F403" i="16" s="1"/>
  <c r="F405" i="16" s="1"/>
  <c r="A391" i="16"/>
  <c r="E387" i="16"/>
  <c r="C386" i="16"/>
  <c r="C385" i="16"/>
  <c r="C384" i="16"/>
  <c r="C383" i="16"/>
  <c r="F332" i="16"/>
  <c r="F331" i="16"/>
  <c r="F423" i="16" l="1"/>
  <c r="F421" i="16"/>
  <c r="H171" i="18"/>
  <c r="E313" i="16"/>
  <c r="C313" i="16"/>
  <c r="E312" i="16"/>
  <c r="C312" i="16"/>
  <c r="E311" i="16"/>
  <c r="C311" i="16"/>
  <c r="E310" i="16"/>
  <c r="C310" i="16"/>
  <c r="E309" i="16"/>
  <c r="C309" i="16"/>
  <c r="E306" i="16"/>
  <c r="C306" i="16"/>
  <c r="E305" i="16"/>
  <c r="C305" i="16"/>
  <c r="E304" i="16"/>
  <c r="C304" i="16"/>
  <c r="E303" i="16"/>
  <c r="C303" i="16"/>
  <c r="E302" i="16"/>
  <c r="C302" i="16"/>
  <c r="E301" i="16"/>
  <c r="C301" i="16"/>
  <c r="E300" i="16"/>
  <c r="C300" i="16"/>
  <c r="E298" i="16"/>
  <c r="E278" i="16"/>
  <c r="C278" i="16"/>
  <c r="E277" i="16"/>
  <c r="C277" i="16"/>
  <c r="E276" i="16"/>
  <c r="C276" i="16"/>
  <c r="E275" i="16"/>
  <c r="C275" i="16"/>
  <c r="E274" i="16"/>
  <c r="C274" i="16"/>
  <c r="E267" i="16"/>
  <c r="C267" i="16"/>
  <c r="E266" i="16"/>
  <c r="C266" i="16"/>
  <c r="E263" i="16"/>
  <c r="F314" i="16" l="1"/>
  <c r="E307" i="16"/>
  <c r="E279" i="16"/>
  <c r="E314" i="16"/>
  <c r="E272" i="16"/>
  <c r="D229" i="16"/>
  <c r="F228" i="16"/>
  <c r="F227" i="16"/>
  <c r="F226" i="16"/>
  <c r="F225" i="16"/>
  <c r="D223" i="16"/>
  <c r="F222" i="16"/>
  <c r="F221" i="16"/>
  <c r="F220" i="16"/>
  <c r="F219" i="16"/>
  <c r="A209" i="16"/>
  <c r="F206" i="16"/>
  <c r="E206" i="16"/>
  <c r="A197" i="16"/>
  <c r="F195" i="16"/>
  <c r="E195" i="16"/>
  <c r="F174" i="16"/>
  <c r="E174" i="16"/>
  <c r="F156" i="16"/>
  <c r="E156" i="16"/>
  <c r="A145" i="16" s="1"/>
  <c r="F143" i="16"/>
  <c r="E143" i="16"/>
  <c r="A130" i="16" s="1"/>
  <c r="D127" i="16"/>
  <c r="F126" i="16"/>
  <c r="F125" i="16"/>
  <c r="F124" i="16"/>
  <c r="F123" i="16"/>
  <c r="D121" i="16"/>
  <c r="F120" i="16"/>
  <c r="F119" i="16"/>
  <c r="F118" i="16"/>
  <c r="F117" i="16"/>
  <c r="D115" i="16"/>
  <c r="F114" i="16"/>
  <c r="F113" i="16"/>
  <c r="F112" i="16"/>
  <c r="F111" i="16"/>
  <c r="F97" i="16"/>
  <c r="E97" i="16"/>
  <c r="F83" i="16"/>
  <c r="E83" i="16"/>
  <c r="F68" i="16"/>
  <c r="E315" i="16" l="1"/>
  <c r="E280" i="16"/>
  <c r="A85" i="16"/>
  <c r="F115" i="16"/>
  <c r="F127" i="16"/>
  <c r="F121" i="16"/>
  <c r="F223" i="16"/>
  <c r="D230" i="16"/>
  <c r="F229" i="16" s="1"/>
  <c r="A70" i="16"/>
  <c r="E68" i="16"/>
  <c r="A57" i="16"/>
  <c r="F55" i="16"/>
  <c r="E53" i="16"/>
  <c r="E52" i="16"/>
  <c r="E51" i="16"/>
  <c r="F18" i="16"/>
  <c r="E18" i="16"/>
  <c r="G273" i="15"/>
  <c r="F272" i="15"/>
  <c r="E272" i="15"/>
  <c r="G271" i="15"/>
  <c r="G270" i="15"/>
  <c r="G269" i="15"/>
  <c r="G268" i="15"/>
  <c r="E282" i="16" l="1"/>
  <c r="A258" i="16"/>
  <c r="E317" i="16"/>
  <c r="A293" i="16"/>
  <c r="G272" i="15"/>
  <c r="F230" i="16"/>
  <c r="F128" i="16"/>
  <c r="A99" i="16" s="1"/>
  <c r="D128" i="16"/>
  <c r="E55" i="16"/>
  <c r="A40" i="16" s="1"/>
  <c r="A5" i="16"/>
  <c r="G234" i="15"/>
  <c r="F233" i="15"/>
  <c r="E233" i="15"/>
  <c r="E235" i="15" s="1"/>
  <c r="G232" i="15"/>
  <c r="G231" i="15"/>
  <c r="G217" i="15"/>
  <c r="F216" i="15"/>
  <c r="E216" i="15"/>
  <c r="G215" i="15"/>
  <c r="G216" i="15" l="1"/>
  <c r="A220" i="15"/>
  <c r="G233" i="15"/>
  <c r="G202" i="15"/>
  <c r="G186" i="15"/>
  <c r="F185" i="15"/>
  <c r="E185" i="15"/>
  <c r="G184" i="15"/>
  <c r="G183" i="15"/>
  <c r="G182" i="15"/>
  <c r="G185" i="15" l="1"/>
  <c r="C126" i="15" l="1"/>
  <c r="C125" i="15"/>
  <c r="C124" i="15"/>
  <c r="C123" i="15"/>
  <c r="C122" i="15"/>
  <c r="C121" i="15"/>
  <c r="C120" i="15"/>
  <c r="C119" i="15"/>
  <c r="D55" i="15" l="1"/>
  <c r="D54" i="15"/>
  <c r="D53" i="15"/>
  <c r="D52" i="15"/>
  <c r="D51" i="15"/>
  <c r="D50" i="15"/>
  <c r="D49" i="15"/>
  <c r="E41" i="15" l="1"/>
  <c r="D39" i="15"/>
  <c r="D38" i="15"/>
  <c r="D37" i="15"/>
  <c r="D36" i="15"/>
  <c r="D35" i="15" l="1"/>
  <c r="D34" i="15"/>
  <c r="D33" i="15"/>
  <c r="I46" i="12"/>
  <c r="H46" i="12"/>
  <c r="I42" i="12" l="1"/>
  <c r="H42" i="12"/>
  <c r="H41" i="12"/>
  <c r="I38" i="12"/>
  <c r="H38" i="12"/>
  <c r="I37" i="12"/>
  <c r="H37" i="12"/>
  <c r="H34" i="12"/>
  <c r="H33" i="12"/>
  <c r="I28" i="12"/>
  <c r="H28" i="12"/>
  <c r="I27" i="12"/>
  <c r="H27" i="12"/>
  <c r="I26" i="12"/>
  <c r="H26" i="12"/>
  <c r="I25" i="12"/>
  <c r="H25" i="12"/>
  <c r="I24" i="12"/>
  <c r="H24" i="12"/>
  <c r="I23" i="12"/>
  <c r="H23" i="12"/>
  <c r="I22" i="12"/>
  <c r="H22" i="12"/>
  <c r="I21" i="12"/>
  <c r="H21" i="12"/>
  <c r="I20" i="12"/>
  <c r="H20" i="12"/>
  <c r="I19" i="12"/>
  <c r="H19" i="12"/>
  <c r="I15" i="12"/>
  <c r="H15" i="12"/>
  <c r="I12" i="12"/>
  <c r="H12" i="12"/>
  <c r="I9" i="12"/>
  <c r="H9" i="12"/>
  <c r="I43" i="12" l="1"/>
  <c r="H43" i="12"/>
  <c r="H13" i="12"/>
  <c r="H35" i="12"/>
  <c r="H39" i="12"/>
  <c r="I13" i="12"/>
  <c r="I29" i="12"/>
  <c r="I39" i="12"/>
  <c r="H29" i="12"/>
  <c r="I44" i="12" l="1"/>
  <c r="H44" i="12"/>
  <c r="G53" i="11"/>
  <c r="F53" i="11"/>
  <c r="D53" i="11"/>
  <c r="G52" i="11"/>
  <c r="F52" i="11"/>
  <c r="D52" i="11"/>
  <c r="G51" i="11"/>
  <c r="F51" i="11"/>
  <c r="D51" i="11"/>
  <c r="G50" i="11"/>
  <c r="F50" i="11"/>
  <c r="D50" i="11"/>
  <c r="G49" i="11"/>
  <c r="F49" i="11"/>
  <c r="D49" i="11"/>
  <c r="D48" i="11"/>
  <c r="G43" i="11"/>
  <c r="F43" i="11"/>
  <c r="C43" i="11"/>
  <c r="G42" i="11"/>
  <c r="F42" i="11"/>
  <c r="C42" i="11"/>
  <c r="G41" i="11"/>
  <c r="F41" i="11"/>
  <c r="C41" i="11"/>
  <c r="G37" i="11"/>
  <c r="F37" i="11"/>
  <c r="C37" i="11"/>
  <c r="G36" i="11"/>
  <c r="C36" i="11"/>
  <c r="G35" i="11"/>
  <c r="C35" i="11"/>
  <c r="C34" i="11"/>
  <c r="C33" i="11"/>
  <c r="C32" i="11"/>
  <c r="C31" i="11"/>
  <c r="G27" i="11"/>
  <c r="F27" i="11"/>
  <c r="C27" i="11"/>
  <c r="G26" i="11"/>
  <c r="F26" i="11"/>
  <c r="C26" i="11"/>
  <c r="G25" i="11"/>
  <c r="F25" i="11"/>
  <c r="C25" i="11"/>
  <c r="G21" i="11"/>
  <c r="F21" i="11"/>
  <c r="C21" i="11"/>
  <c r="G20" i="11"/>
  <c r="F20" i="11"/>
  <c r="C20" i="11"/>
  <c r="G19" i="11"/>
  <c r="F19" i="11"/>
  <c r="C19" i="11"/>
  <c r="G18" i="11"/>
  <c r="F18" i="11"/>
  <c r="C18" i="11"/>
  <c r="G17" i="11"/>
  <c r="F17" i="11"/>
  <c r="C17" i="11"/>
  <c r="G16" i="11"/>
  <c r="F16" i="11"/>
  <c r="C16" i="11"/>
  <c r="G15" i="11"/>
  <c r="F15" i="11"/>
  <c r="C15" i="11"/>
  <c r="F44" i="11" l="1"/>
  <c r="G44" i="11"/>
  <c r="F28" i="11"/>
  <c r="G28" i="11"/>
  <c r="C14" i="11"/>
  <c r="G13" i="11"/>
  <c r="F29" i="16" s="1"/>
  <c r="F31" i="16" s="1"/>
  <c r="F13" i="11"/>
  <c r="E29" i="16" s="1"/>
  <c r="E31" i="16" s="1"/>
  <c r="A21" i="16" s="1"/>
  <c r="C13" i="11"/>
  <c r="G12" i="11"/>
  <c r="F12" i="11"/>
  <c r="C12" i="11"/>
  <c r="G9" i="11"/>
  <c r="F9" i="11"/>
  <c r="F20" i="10"/>
  <c r="C20" i="10"/>
  <c r="C19" i="10" l="1"/>
  <c r="F18" i="10"/>
  <c r="C18" i="10"/>
  <c r="F17" i="10"/>
  <c r="C17" i="10"/>
  <c r="F35" i="8" l="1"/>
  <c r="F34" i="8"/>
  <c r="F29" i="8"/>
  <c r="A4" i="8"/>
  <c r="G45" i="6"/>
  <c r="G44" i="6"/>
  <c r="G39" i="6"/>
  <c r="A32" i="5"/>
  <c r="A31" i="5"/>
  <c r="M808" i="4" l="1"/>
  <c r="L808" i="4"/>
  <c r="M802" i="4" l="1"/>
  <c r="L802" i="4"/>
  <c r="M791" i="4"/>
  <c r="M799" i="4" s="1"/>
  <c r="L791" i="4"/>
  <c r="L787" i="4"/>
  <c r="L799" i="4" l="1"/>
  <c r="M763" i="4" l="1"/>
  <c r="L763" i="4"/>
  <c r="M760" i="4"/>
  <c r="L760" i="4"/>
  <c r="M755" i="4"/>
  <c r="L755" i="4"/>
  <c r="M743" i="4"/>
  <c r="L743" i="4"/>
  <c r="M735" i="4"/>
  <c r="H735" i="4"/>
  <c r="C735" i="4"/>
  <c r="L764" i="4" l="1"/>
  <c r="M764" i="4"/>
  <c r="M803" i="4" s="1"/>
  <c r="P735" i="4"/>
  <c r="M734" i="4"/>
  <c r="M737" i="4" s="1"/>
  <c r="H734" i="4"/>
  <c r="C734" i="4"/>
  <c r="M732" i="4"/>
  <c r="M727" i="4"/>
  <c r="M721" i="4"/>
  <c r="L781" i="4" l="1"/>
  <c r="L803" i="4" s="1"/>
  <c r="L810" i="4" s="1"/>
  <c r="Y725" i="4"/>
  <c r="G55" i="25"/>
  <c r="G56" i="25" s="1"/>
  <c r="P734" i="4"/>
  <c r="H737" i="4"/>
  <c r="I718" i="4"/>
  <c r="F55" i="25" s="1"/>
  <c r="N711" i="4"/>
  <c r="M711" i="4"/>
  <c r="M708" i="4"/>
  <c r="N707" i="4"/>
  <c r="M707" i="4"/>
  <c r="K706" i="4"/>
  <c r="I706" i="4"/>
  <c r="F48" i="25" s="1"/>
  <c r="F52" i="25" s="1"/>
  <c r="F53" i="25" s="1"/>
  <c r="K700" i="4"/>
  <c r="I700" i="4"/>
  <c r="N699" i="4"/>
  <c r="M699" i="4"/>
  <c r="N698" i="4"/>
  <c r="M698" i="4"/>
  <c r="N697" i="4"/>
  <c r="M697" i="4"/>
  <c r="K694" i="4"/>
  <c r="I694" i="4"/>
  <c r="N693" i="4"/>
  <c r="M693" i="4"/>
  <c r="N692" i="4"/>
  <c r="M692" i="4"/>
  <c r="N691" i="4"/>
  <c r="M691" i="4"/>
  <c r="M686" i="4"/>
  <c r="N686" i="4" s="1"/>
  <c r="K683" i="4"/>
  <c r="G34" i="25" s="1"/>
  <c r="K682" i="4"/>
  <c r="G33" i="25" s="1"/>
  <c r="K681" i="4"/>
  <c r="G32" i="25" s="1"/>
  <c r="K680" i="4"/>
  <c r="G31" i="25" s="1"/>
  <c r="K677" i="4"/>
  <c r="I677" i="4"/>
  <c r="N676" i="4"/>
  <c r="M676" i="4"/>
  <c r="N675" i="4"/>
  <c r="M675" i="4"/>
  <c r="M671" i="4"/>
  <c r="N670" i="4"/>
  <c r="M670" i="4"/>
  <c r="N669" i="4"/>
  <c r="M669" i="4"/>
  <c r="N668" i="4"/>
  <c r="M668" i="4"/>
  <c r="N667" i="4"/>
  <c r="M667" i="4"/>
  <c r="N666" i="4"/>
  <c r="M666" i="4"/>
  <c r="M665" i="4"/>
  <c r="N664" i="4"/>
  <c r="M664" i="4"/>
  <c r="N663" i="4"/>
  <c r="M663" i="4"/>
  <c r="N662" i="4"/>
  <c r="M662" i="4"/>
  <c r="K661" i="4"/>
  <c r="I661" i="4"/>
  <c r="N659" i="4"/>
  <c r="M659" i="4"/>
  <c r="N658" i="4"/>
  <c r="M658" i="4"/>
  <c r="N657" i="4"/>
  <c r="M657" i="4"/>
  <c r="N656" i="4"/>
  <c r="M656" i="4"/>
  <c r="N655" i="4"/>
  <c r="M655" i="4"/>
  <c r="N654" i="4"/>
  <c r="M654" i="4"/>
  <c r="K653" i="4"/>
  <c r="I653" i="4"/>
  <c r="F14" i="25" s="1"/>
  <c r="F22" i="25" s="1"/>
  <c r="N652" i="4"/>
  <c r="M652" i="4"/>
  <c r="N651" i="4"/>
  <c r="M651" i="4"/>
  <c r="Y721" i="4"/>
  <c r="H11" i="24" l="1"/>
  <c r="M677" i="4"/>
  <c r="M694" i="4"/>
  <c r="G14" i="11"/>
  <c r="G22" i="11" s="1"/>
  <c r="G14" i="25"/>
  <c r="G22" i="25" s="1"/>
  <c r="G48" i="11"/>
  <c r="G48" i="25"/>
  <c r="G52" i="25" s="1"/>
  <c r="G53" i="25" s="1"/>
  <c r="G57" i="25" s="1"/>
  <c r="G38" i="25"/>
  <c r="A10" i="20"/>
  <c r="F56" i="25"/>
  <c r="F57" i="25" s="1"/>
  <c r="N700" i="4"/>
  <c r="N706" i="4"/>
  <c r="N694" i="4"/>
  <c r="W725" i="4"/>
  <c r="M718" i="4"/>
  <c r="N718" i="4" s="1"/>
  <c r="M700" i="4"/>
  <c r="M661" i="4"/>
  <c r="N661" i="4"/>
  <c r="F14" i="11"/>
  <c r="F22" i="11" s="1"/>
  <c r="M653" i="4"/>
  <c r="I672" i="4"/>
  <c r="N653" i="4"/>
  <c r="K713" i="4"/>
  <c r="K714" i="4" s="1"/>
  <c r="K719" i="4" s="1"/>
  <c r="I713" i="4"/>
  <c r="A444" i="16"/>
  <c r="F48" i="11"/>
  <c r="M706" i="4"/>
  <c r="G32" i="11"/>
  <c r="M724" i="4"/>
  <c r="G33" i="11"/>
  <c r="M725" i="4"/>
  <c r="G34" i="11"/>
  <c r="M726" i="4"/>
  <c r="F237" i="16"/>
  <c r="F245" i="16" s="1"/>
  <c r="G31" i="11"/>
  <c r="M723" i="4"/>
  <c r="K688" i="4"/>
  <c r="W641" i="4"/>
  <c r="U641" i="4"/>
  <c r="Q641" i="4"/>
  <c r="O641" i="4"/>
  <c r="Y639" i="4"/>
  <c r="V639" i="4"/>
  <c r="S639" i="4"/>
  <c r="P639" i="4"/>
  <c r="M639" i="4"/>
  <c r="K639" i="4"/>
  <c r="I639" i="4"/>
  <c r="G639" i="4"/>
  <c r="Y632" i="4"/>
  <c r="V632" i="4"/>
  <c r="S632" i="4"/>
  <c r="P632" i="4"/>
  <c r="M632" i="4"/>
  <c r="K632" i="4"/>
  <c r="I632" i="4"/>
  <c r="G632" i="4"/>
  <c r="Q616" i="4"/>
  <c r="I616" i="4"/>
  <c r="Q615" i="4"/>
  <c r="Z615" i="4" s="1"/>
  <c r="W615" i="4" s="1"/>
  <c r="I615" i="4"/>
  <c r="M615" i="4" s="1"/>
  <c r="Q614" i="4"/>
  <c r="Z614" i="4" s="1"/>
  <c r="W614" i="4" s="1"/>
  <c r="O614" i="4"/>
  <c r="M614" i="4" s="1"/>
  <c r="Q613" i="4"/>
  <c r="I613" i="4"/>
  <c r="M613" i="4" s="1"/>
  <c r="Q612" i="4"/>
  <c r="Z612" i="4" s="1"/>
  <c r="W612" i="4" s="1"/>
  <c r="I612" i="4"/>
  <c r="M612" i="4" s="1"/>
  <c r="Q607" i="4"/>
  <c r="I607" i="4"/>
  <c r="Q606" i="4"/>
  <c r="Z606" i="4" s="1"/>
  <c r="I606" i="4"/>
  <c r="M606" i="4" s="1"/>
  <c r="Q605" i="4"/>
  <c r="Z605" i="4" s="1"/>
  <c r="I605" i="4"/>
  <c r="M605" i="4" s="1"/>
  <c r="Q604" i="4"/>
  <c r="I604" i="4"/>
  <c r="Q602" i="4"/>
  <c r="I602" i="4"/>
  <c r="Q601" i="4"/>
  <c r="I601" i="4"/>
  <c r="Z597" i="4"/>
  <c r="O597" i="4"/>
  <c r="I640" i="4" l="1"/>
  <c r="I641" i="4" s="1"/>
  <c r="I681" i="4" s="1"/>
  <c r="F32" i="25" s="1"/>
  <c r="F247" i="16"/>
  <c r="O613" i="4"/>
  <c r="G45" i="25"/>
  <c r="G640" i="4"/>
  <c r="G641" i="4" s="1"/>
  <c r="A232" i="16" s="1"/>
  <c r="W606" i="4"/>
  <c r="O616" i="4"/>
  <c r="Z616" i="4"/>
  <c r="W605" i="4"/>
  <c r="O615" i="4"/>
  <c r="M730" i="4"/>
  <c r="O612" i="4"/>
  <c r="G38" i="11"/>
  <c r="G45" i="11" s="1"/>
  <c r="O606" i="4"/>
  <c r="O605" i="4"/>
  <c r="O604" i="4"/>
  <c r="I714" i="4"/>
  <c r="I719" i="4" s="1"/>
  <c r="M713" i="4"/>
  <c r="N713" i="4"/>
  <c r="Z604" i="4"/>
  <c r="Q595" i="4"/>
  <c r="I595" i="4"/>
  <c r="Q594" i="4"/>
  <c r="I594" i="4"/>
  <c r="Q593" i="4"/>
  <c r="W593" i="4" s="1"/>
  <c r="I593" i="4"/>
  <c r="O593" i="4" s="1"/>
  <c r="M593" i="4" s="1"/>
  <c r="Q591" i="4"/>
  <c r="I591" i="4"/>
  <c r="Z579" i="4"/>
  <c r="O579" i="4"/>
  <c r="Z578" i="4"/>
  <c r="W578" i="4"/>
  <c r="O578" i="4"/>
  <c r="M578" i="4"/>
  <c r="Z577" i="4"/>
  <c r="W577" i="4"/>
  <c r="O577" i="4"/>
  <c r="M577" i="4"/>
  <c r="Z576" i="4"/>
  <c r="O576" i="4"/>
  <c r="M576" i="4"/>
  <c r="Z575" i="4"/>
  <c r="W575" i="4"/>
  <c r="O575" i="4"/>
  <c r="M575" i="4"/>
  <c r="Q571" i="4"/>
  <c r="I571" i="4"/>
  <c r="V570" i="4"/>
  <c r="U570" i="4"/>
  <c r="Q570" i="4"/>
  <c r="Q603" i="4" s="1"/>
  <c r="Q608" i="4" s="1"/>
  <c r="I570" i="4"/>
  <c r="V569" i="4"/>
  <c r="U569" i="4"/>
  <c r="Z568" i="4"/>
  <c r="V568" i="4"/>
  <c r="U568" i="4"/>
  <c r="O568" i="4"/>
  <c r="V567" i="4"/>
  <c r="U567" i="4"/>
  <c r="V566" i="4"/>
  <c r="U566" i="4"/>
  <c r="Z565" i="4"/>
  <c r="O565" i="4"/>
  <c r="Z563" i="4"/>
  <c r="W563" i="4"/>
  <c r="O563" i="4"/>
  <c r="M563" i="4"/>
  <c r="Z562" i="4"/>
  <c r="W562" i="4"/>
  <c r="O562" i="4"/>
  <c r="M562" i="4"/>
  <c r="Z561" i="4"/>
  <c r="O561" i="4"/>
  <c r="Z553" i="4"/>
  <c r="T553" i="4"/>
  <c r="W553" i="4" s="1"/>
  <c r="O553" i="4"/>
  <c r="Z550" i="4"/>
  <c r="W550" i="4"/>
  <c r="O550" i="4"/>
  <c r="M550" i="4"/>
  <c r="Z549" i="4"/>
  <c r="W549" i="4"/>
  <c r="O549" i="4"/>
  <c r="K549" i="4"/>
  <c r="M549" i="4" s="1"/>
  <c r="Z547" i="4"/>
  <c r="O547" i="4"/>
  <c r="L538" i="4"/>
  <c r="J538" i="4"/>
  <c r="T607" i="4" s="1"/>
  <c r="W607" i="4" s="1"/>
  <c r="G538" i="4"/>
  <c r="D538" i="4"/>
  <c r="K607" i="4" s="1"/>
  <c r="M537" i="4"/>
  <c r="H537" i="4"/>
  <c r="M536" i="4"/>
  <c r="H536" i="4"/>
  <c r="M535" i="4"/>
  <c r="H535" i="4"/>
  <c r="M534" i="4"/>
  <c r="H534" i="4"/>
  <c r="M533" i="4"/>
  <c r="H533" i="4"/>
  <c r="M532" i="4"/>
  <c r="H532" i="4"/>
  <c r="M531" i="4"/>
  <c r="H531" i="4"/>
  <c r="M530" i="4"/>
  <c r="H530" i="4"/>
  <c r="M529" i="4"/>
  <c r="H529" i="4"/>
  <c r="M528" i="4"/>
  <c r="H528" i="4"/>
  <c r="M527" i="4"/>
  <c r="H527" i="4"/>
  <c r="M526" i="4"/>
  <c r="H526" i="4"/>
  <c r="M525" i="4"/>
  <c r="H525" i="4"/>
  <c r="M524" i="4"/>
  <c r="H524" i="4"/>
  <c r="M523" i="4"/>
  <c r="H523" i="4"/>
  <c r="L516" i="4"/>
  <c r="J516" i="4"/>
  <c r="T604" i="4" s="1"/>
  <c r="W604" i="4" s="1"/>
  <c r="G516" i="4"/>
  <c r="D516" i="4"/>
  <c r="K604" i="4" s="1"/>
  <c r="M604" i="4" s="1"/>
  <c r="M515" i="4"/>
  <c r="H515" i="4"/>
  <c r="M514" i="4"/>
  <c r="H514" i="4"/>
  <c r="M513" i="4"/>
  <c r="H513" i="4"/>
  <c r="M512" i="4"/>
  <c r="H512" i="4"/>
  <c r="M511" i="4"/>
  <c r="H511" i="4"/>
  <c r="M510" i="4"/>
  <c r="H510" i="4"/>
  <c r="L503" i="4"/>
  <c r="J503" i="4"/>
  <c r="G503" i="4"/>
  <c r="D503" i="4"/>
  <c r="M502" i="4"/>
  <c r="H502" i="4"/>
  <c r="M501" i="4"/>
  <c r="H501" i="4"/>
  <c r="M500" i="4"/>
  <c r="H500" i="4"/>
  <c r="M499" i="4"/>
  <c r="H499" i="4"/>
  <c r="M498" i="4"/>
  <c r="H498" i="4"/>
  <c r="M497" i="4"/>
  <c r="H497" i="4"/>
  <c r="M496" i="4"/>
  <c r="H496" i="4"/>
  <c r="L492" i="4"/>
  <c r="J492" i="4"/>
  <c r="G492" i="4"/>
  <c r="D492" i="4"/>
  <c r="M491" i="4"/>
  <c r="H491" i="4"/>
  <c r="M490" i="4"/>
  <c r="H490" i="4"/>
  <c r="M489" i="4"/>
  <c r="H489" i="4"/>
  <c r="M488" i="4"/>
  <c r="H488" i="4"/>
  <c r="M487" i="4"/>
  <c r="H487" i="4"/>
  <c r="M486" i="4"/>
  <c r="H486" i="4"/>
  <c r="M485" i="4"/>
  <c r="H485" i="4"/>
  <c r="L481" i="4"/>
  <c r="J481" i="4"/>
  <c r="G481" i="4"/>
  <c r="D481" i="4"/>
  <c r="M480" i="4"/>
  <c r="H480" i="4"/>
  <c r="M479" i="4"/>
  <c r="H479" i="4"/>
  <c r="M478" i="4"/>
  <c r="H478" i="4"/>
  <c r="M477" i="4"/>
  <c r="H477" i="4"/>
  <c r="M476" i="4"/>
  <c r="H476" i="4"/>
  <c r="L472" i="4"/>
  <c r="J472" i="4"/>
  <c r="G472" i="4"/>
  <c r="D472" i="4"/>
  <c r="M471" i="4"/>
  <c r="H471" i="4"/>
  <c r="M470" i="4"/>
  <c r="H470" i="4"/>
  <c r="M469" i="4"/>
  <c r="H469" i="4"/>
  <c r="M468" i="4"/>
  <c r="H468" i="4"/>
  <c r="M467" i="4"/>
  <c r="H467" i="4"/>
  <c r="M466" i="4"/>
  <c r="H466" i="4"/>
  <c r="M465" i="4"/>
  <c r="H465" i="4"/>
  <c r="M464" i="4"/>
  <c r="H464" i="4"/>
  <c r="M463" i="4"/>
  <c r="H463" i="4"/>
  <c r="M462" i="4"/>
  <c r="H462" i="4"/>
  <c r="L458" i="4"/>
  <c r="J458" i="4"/>
  <c r="G458" i="4"/>
  <c r="D458" i="4"/>
  <c r="M457" i="4"/>
  <c r="H457" i="4"/>
  <c r="M456" i="4"/>
  <c r="H456" i="4"/>
  <c r="M455" i="4"/>
  <c r="H455" i="4"/>
  <c r="M454" i="4"/>
  <c r="H454" i="4"/>
  <c r="M453" i="4"/>
  <c r="H453" i="4"/>
  <c r="M452" i="4"/>
  <c r="H452" i="4"/>
  <c r="M451" i="4"/>
  <c r="H451" i="4"/>
  <c r="M450" i="4"/>
  <c r="H450" i="4"/>
  <c r="M449" i="4"/>
  <c r="H449" i="4"/>
  <c r="M448" i="4"/>
  <c r="H448" i="4"/>
  <c r="L444" i="4"/>
  <c r="J444" i="4"/>
  <c r="G444" i="4"/>
  <c r="D444" i="4"/>
  <c r="E167" i="15" s="1"/>
  <c r="M443" i="4"/>
  <c r="H443" i="4"/>
  <c r="M442" i="4"/>
  <c r="H442" i="4"/>
  <c r="M441" i="4"/>
  <c r="H441" i="4"/>
  <c r="M440" i="4"/>
  <c r="H440" i="4"/>
  <c r="M439" i="4"/>
  <c r="H439" i="4"/>
  <c r="M438" i="4"/>
  <c r="H438" i="4"/>
  <c r="M437" i="4"/>
  <c r="H437" i="4"/>
  <c r="M436" i="4"/>
  <c r="H436" i="4"/>
  <c r="M435" i="4"/>
  <c r="H435" i="4"/>
  <c r="M434" i="4"/>
  <c r="H434" i="4"/>
  <c r="L430" i="4"/>
  <c r="J430" i="4"/>
  <c r="G430" i="4"/>
  <c r="D430" i="4"/>
  <c r="M429" i="4"/>
  <c r="H429" i="4"/>
  <c r="M428" i="4"/>
  <c r="H428" i="4"/>
  <c r="M427" i="4"/>
  <c r="H427" i="4"/>
  <c r="M426" i="4"/>
  <c r="H426" i="4"/>
  <c r="M425" i="4"/>
  <c r="H425" i="4"/>
  <c r="M424" i="4"/>
  <c r="H424" i="4"/>
  <c r="M423" i="4"/>
  <c r="H423" i="4"/>
  <c r="M422" i="4"/>
  <c r="H422" i="4"/>
  <c r="M421" i="4"/>
  <c r="H421" i="4"/>
  <c r="M420" i="4"/>
  <c r="H420" i="4"/>
  <c r="M419" i="4"/>
  <c r="H419" i="4"/>
  <c r="M418" i="4"/>
  <c r="H418" i="4"/>
  <c r="L414" i="4"/>
  <c r="J414" i="4"/>
  <c r="G414" i="4"/>
  <c r="D414" i="4" s="1"/>
  <c r="M413" i="4"/>
  <c r="H413" i="4"/>
  <c r="M412" i="4"/>
  <c r="H412" i="4"/>
  <c r="M411" i="4"/>
  <c r="H411" i="4"/>
  <c r="M410" i="4"/>
  <c r="H410" i="4"/>
  <c r="M409" i="4"/>
  <c r="H409" i="4"/>
  <c r="M408" i="4"/>
  <c r="H408" i="4"/>
  <c r="M407" i="4"/>
  <c r="H407" i="4"/>
  <c r="M406" i="4"/>
  <c r="H406" i="4"/>
  <c r="M405" i="4"/>
  <c r="H405" i="4"/>
  <c r="M404" i="4"/>
  <c r="H404" i="4"/>
  <c r="M403" i="4"/>
  <c r="H403" i="4"/>
  <c r="M402" i="4"/>
  <c r="H402" i="4"/>
  <c r="L398" i="4"/>
  <c r="J398" i="4"/>
  <c r="G398" i="4"/>
  <c r="D398" i="4"/>
  <c r="W387" i="4" s="1"/>
  <c r="M397" i="4"/>
  <c r="H397" i="4"/>
  <c r="M396" i="4"/>
  <c r="H396" i="4"/>
  <c r="M395" i="4"/>
  <c r="H395" i="4"/>
  <c r="M394" i="4"/>
  <c r="H394" i="4"/>
  <c r="M393" i="4"/>
  <c r="H393" i="4"/>
  <c r="M392" i="4"/>
  <c r="H392" i="4"/>
  <c r="M391" i="4"/>
  <c r="H391" i="4"/>
  <c r="M390" i="4"/>
  <c r="H390" i="4"/>
  <c r="M389" i="4"/>
  <c r="H389" i="4"/>
  <c r="M388" i="4"/>
  <c r="H388" i="4"/>
  <c r="L381" i="4"/>
  <c r="J381" i="4"/>
  <c r="G381" i="4"/>
  <c r="D381" i="4"/>
  <c r="M380" i="4"/>
  <c r="H380" i="4"/>
  <c r="M379" i="4"/>
  <c r="H379" i="4"/>
  <c r="M378" i="4"/>
  <c r="H378" i="4"/>
  <c r="M377" i="4"/>
  <c r="H377" i="4"/>
  <c r="M376" i="4"/>
  <c r="H376" i="4"/>
  <c r="M375" i="4"/>
  <c r="H375" i="4"/>
  <c r="M374" i="4"/>
  <c r="H374" i="4"/>
  <c r="M373" i="4"/>
  <c r="H373" i="4"/>
  <c r="E132" i="18" s="1"/>
  <c r="M372" i="4"/>
  <c r="H372" i="4"/>
  <c r="E133" i="18" s="1"/>
  <c r="H133" i="18" s="1"/>
  <c r="M371" i="4"/>
  <c r="H371" i="4"/>
  <c r="L366" i="4"/>
  <c r="J366" i="4"/>
  <c r="G366" i="4"/>
  <c r="D366" i="4"/>
  <c r="M365" i="4"/>
  <c r="H365" i="4"/>
  <c r="M364" i="4"/>
  <c r="H364" i="4"/>
  <c r="M363" i="4"/>
  <c r="H363" i="4"/>
  <c r="M362" i="4"/>
  <c r="H362" i="4"/>
  <c r="M361" i="4"/>
  <c r="H361" i="4"/>
  <c r="M360" i="4"/>
  <c r="H360" i="4"/>
  <c r="M359" i="4"/>
  <c r="H359" i="4"/>
  <c r="M358" i="4"/>
  <c r="H358" i="4"/>
  <c r="L354" i="4"/>
  <c r="J354" i="4"/>
  <c r="G354" i="4"/>
  <c r="D354" i="4"/>
  <c r="M353" i="4"/>
  <c r="H353" i="4"/>
  <c r="M352" i="4"/>
  <c r="H352" i="4"/>
  <c r="M351" i="4"/>
  <c r="H351" i="4"/>
  <c r="M350" i="4"/>
  <c r="H350" i="4"/>
  <c r="M349" i="4"/>
  <c r="H349" i="4"/>
  <c r="M348" i="4"/>
  <c r="H348" i="4"/>
  <c r="M347" i="4"/>
  <c r="H347" i="4"/>
  <c r="H116" i="18" s="1"/>
  <c r="M346" i="4"/>
  <c r="H346" i="4"/>
  <c r="E115" i="18" s="1"/>
  <c r="H115" i="18" s="1"/>
  <c r="M345" i="4"/>
  <c r="H345" i="4"/>
  <c r="M344" i="4"/>
  <c r="H344" i="4"/>
  <c r="E114" i="18" s="1"/>
  <c r="H114" i="18" s="1"/>
  <c r="L340" i="4"/>
  <c r="J340" i="4"/>
  <c r="G340" i="4"/>
  <c r="D340" i="4"/>
  <c r="M339" i="4"/>
  <c r="H339" i="4"/>
  <c r="M338" i="4"/>
  <c r="H338" i="4"/>
  <c r="M337" i="4"/>
  <c r="H337" i="4"/>
  <c r="M336" i="4"/>
  <c r="H336" i="4"/>
  <c r="M335" i="4"/>
  <c r="H335" i="4"/>
  <c r="M334" i="4"/>
  <c r="H334" i="4"/>
  <c r="M333" i="4"/>
  <c r="H333" i="4"/>
  <c r="M332" i="4"/>
  <c r="H332" i="4"/>
  <c r="M331" i="4"/>
  <c r="H331" i="4"/>
  <c r="M330" i="4"/>
  <c r="H330" i="4"/>
  <c r="M329" i="4"/>
  <c r="H329" i="4"/>
  <c r="M328" i="4"/>
  <c r="H328" i="4"/>
  <c r="M327" i="4"/>
  <c r="H327" i="4"/>
  <c r="M326" i="4"/>
  <c r="H326" i="4"/>
  <c r="E99" i="18" s="1"/>
  <c r="H99" i="18" s="1"/>
  <c r="M325" i="4"/>
  <c r="H325" i="4"/>
  <c r="M324" i="4"/>
  <c r="H324" i="4"/>
  <c r="M323" i="4"/>
  <c r="H323" i="4"/>
  <c r="E98" i="18" s="1"/>
  <c r="L319" i="4"/>
  <c r="J319" i="4"/>
  <c r="G319" i="4"/>
  <c r="D319" i="4"/>
  <c r="M318" i="4"/>
  <c r="H318" i="4"/>
  <c r="M317" i="4"/>
  <c r="H317" i="4"/>
  <c r="M316" i="4"/>
  <c r="H316" i="4"/>
  <c r="M315" i="4"/>
  <c r="H315" i="4"/>
  <c r="H81" i="18" s="1"/>
  <c r="M314" i="4"/>
  <c r="H314" i="4"/>
  <c r="E80" i="18" s="1"/>
  <c r="H80" i="18" s="1"/>
  <c r="M313" i="4"/>
  <c r="H313" i="4"/>
  <c r="M312" i="4"/>
  <c r="H312" i="4"/>
  <c r="M311" i="4"/>
  <c r="H311" i="4"/>
  <c r="M310" i="4"/>
  <c r="H310" i="4"/>
  <c r="M309" i="4"/>
  <c r="H309" i="4"/>
  <c r="M308" i="4"/>
  <c r="H308" i="4"/>
  <c r="M307" i="4"/>
  <c r="H307" i="4"/>
  <c r="M306" i="4"/>
  <c r="H306" i="4"/>
  <c r="L302" i="4"/>
  <c r="J302" i="4"/>
  <c r="Z231" i="4" s="1"/>
  <c r="F143" i="15" s="1"/>
  <c r="H98" i="18" l="1"/>
  <c r="E103" i="18"/>
  <c r="H103" i="18" s="1"/>
  <c r="H117" i="18"/>
  <c r="W389" i="4"/>
  <c r="Z393" i="4"/>
  <c r="Z395" i="4"/>
  <c r="W397" i="4"/>
  <c r="E170" i="15" s="1"/>
  <c r="Z390" i="4"/>
  <c r="T616" i="4"/>
  <c r="W616" i="4" s="1"/>
  <c r="Z394" i="4"/>
  <c r="H430" i="4"/>
  <c r="L567" i="4" s="1"/>
  <c r="M567" i="4" s="1"/>
  <c r="M381" i="4"/>
  <c r="M492" i="4"/>
  <c r="Z391" i="4"/>
  <c r="W391" i="4" s="1"/>
  <c r="W395" i="4"/>
  <c r="H444" i="4"/>
  <c r="H458" i="4"/>
  <c r="H472" i="4"/>
  <c r="H481" i="4"/>
  <c r="H503" i="4"/>
  <c r="W390" i="4"/>
  <c r="Z392" i="4"/>
  <c r="M354" i="4"/>
  <c r="M366" i="4"/>
  <c r="Z389" i="4"/>
  <c r="Z397" i="4"/>
  <c r="F170" i="15" s="1"/>
  <c r="M516" i="4"/>
  <c r="A136" i="20"/>
  <c r="M538" i="4"/>
  <c r="F101" i="15" s="1"/>
  <c r="W393" i="4"/>
  <c r="M340" i="4"/>
  <c r="Z387" i="4"/>
  <c r="F164" i="15" s="1"/>
  <c r="E164" i="15" s="1"/>
  <c r="W392" i="4"/>
  <c r="W394" i="4"/>
  <c r="H414" i="4"/>
  <c r="M430" i="4"/>
  <c r="T567" i="4" s="1"/>
  <c r="Z567" i="4" s="1"/>
  <c r="M444" i="4"/>
  <c r="M458" i="4"/>
  <c r="M472" i="4"/>
  <c r="M481" i="4"/>
  <c r="T569" i="4" s="1"/>
  <c r="M503" i="4"/>
  <c r="H319" i="4"/>
  <c r="H366" i="4"/>
  <c r="K616" i="4"/>
  <c r="M616" i="4" s="1"/>
  <c r="H381" i="4"/>
  <c r="B123" i="18" s="1"/>
  <c r="M398" i="4"/>
  <c r="M414" i="4"/>
  <c r="T566" i="4" s="1"/>
  <c r="H492" i="4"/>
  <c r="H516" i="4"/>
  <c r="H538" i="4"/>
  <c r="E101" i="15" s="1"/>
  <c r="H398" i="4"/>
  <c r="K603" i="4"/>
  <c r="F69" i="15" s="1"/>
  <c r="O567" i="4"/>
  <c r="F19" i="10"/>
  <c r="F21" i="10" s="1"/>
  <c r="I603" i="4"/>
  <c r="O591" i="4"/>
  <c r="Z593" i="4"/>
  <c r="O594" i="4"/>
  <c r="Z594" i="4"/>
  <c r="M594" i="4"/>
  <c r="W594" i="4"/>
  <c r="Z388" i="4"/>
  <c r="H354" i="4"/>
  <c r="W388" i="4"/>
  <c r="I680" i="4"/>
  <c r="M680" i="4" s="1"/>
  <c r="N680" i="4" s="1"/>
  <c r="H340" i="4"/>
  <c r="Q574" i="4"/>
  <c r="Q580" i="4" s="1"/>
  <c r="I574" i="4"/>
  <c r="I611" i="4" s="1"/>
  <c r="A33" i="9"/>
  <c r="W724" i="4"/>
  <c r="M714" i="4"/>
  <c r="N714" i="4"/>
  <c r="V640" i="4"/>
  <c r="F383" i="16"/>
  <c r="F32" i="11"/>
  <c r="H724" i="4"/>
  <c r="P724" i="4" s="1"/>
  <c r="M681" i="4"/>
  <c r="N681" i="4" s="1"/>
  <c r="Y724" i="4"/>
  <c r="N677" i="4"/>
  <c r="O607" i="4"/>
  <c r="M607" i="4"/>
  <c r="A205" i="15"/>
  <c r="T603" i="4"/>
  <c r="M319" i="4"/>
  <c r="G302" i="4"/>
  <c r="D302" i="4"/>
  <c r="W231" i="4" s="1"/>
  <c r="E143" i="15" s="1"/>
  <c r="G143" i="15" s="1"/>
  <c r="M301" i="4"/>
  <c r="H301" i="4"/>
  <c r="M300" i="4"/>
  <c r="H300" i="4"/>
  <c r="M299" i="4"/>
  <c r="H299" i="4"/>
  <c r="M298" i="4"/>
  <c r="H298" i="4"/>
  <c r="M297" i="4"/>
  <c r="H297" i="4"/>
  <c r="M296" i="4"/>
  <c r="H296" i="4"/>
  <c r="M295" i="4"/>
  <c r="H295" i="4"/>
  <c r="M294" i="4"/>
  <c r="H294" i="4"/>
  <c r="M293" i="4"/>
  <c r="H293" i="4"/>
  <c r="L289" i="4"/>
  <c r="J289" i="4"/>
  <c r="G289" i="4"/>
  <c r="D289" i="4"/>
  <c r="M288" i="4"/>
  <c r="H288" i="4"/>
  <c r="M287" i="4"/>
  <c r="H287" i="4"/>
  <c r="M286" i="4"/>
  <c r="H286" i="4"/>
  <c r="M285" i="4"/>
  <c r="H285" i="4"/>
  <c r="M284" i="4"/>
  <c r="H284" i="4"/>
  <c r="L280" i="4"/>
  <c r="J280" i="4"/>
  <c r="G280" i="4"/>
  <c r="D280" i="4"/>
  <c r="M279" i="4"/>
  <c r="H279" i="4"/>
  <c r="M278" i="4"/>
  <c r="H278" i="4"/>
  <c r="M277" i="4"/>
  <c r="H277" i="4"/>
  <c r="L273" i="4"/>
  <c r="J273" i="4"/>
  <c r="G273" i="4"/>
  <c r="D273" i="4"/>
  <c r="M272" i="4"/>
  <c r="H272" i="4"/>
  <c r="M271" i="4"/>
  <c r="H271" i="4"/>
  <c r="M270" i="4"/>
  <c r="H270" i="4"/>
  <c r="M269" i="4"/>
  <c r="H269" i="4"/>
  <c r="M268" i="4"/>
  <c r="H268" i="4"/>
  <c r="M267" i="4"/>
  <c r="H267" i="4"/>
  <c r="E118" i="18" l="1"/>
  <c r="H118" i="18" s="1"/>
  <c r="H132" i="18"/>
  <c r="E135" i="18"/>
  <c r="H723" i="4"/>
  <c r="T579" i="4"/>
  <c r="W579" i="4" s="1"/>
  <c r="Z396" i="4"/>
  <c r="Z398" i="4" s="1"/>
  <c r="H280" i="4"/>
  <c r="M280" i="4"/>
  <c r="L568" i="4"/>
  <c r="M568" i="4" s="1"/>
  <c r="F31" i="11"/>
  <c r="F31" i="25"/>
  <c r="K579" i="4"/>
  <c r="M579" i="4" s="1"/>
  <c r="W396" i="4"/>
  <c r="W398" i="4" s="1"/>
  <c r="W569" i="4"/>
  <c r="Z569" i="4"/>
  <c r="T560" i="4"/>
  <c r="I20" i="10" s="1"/>
  <c r="O603" i="4"/>
  <c r="M603" i="4"/>
  <c r="K560" i="4"/>
  <c r="G20" i="10" s="1"/>
  <c r="H20" i="10" s="1"/>
  <c r="T568" i="4"/>
  <c r="W568" i="4" s="1"/>
  <c r="H273" i="4"/>
  <c r="H289" i="4"/>
  <c r="E69" i="15"/>
  <c r="G69" i="15" s="1"/>
  <c r="I608" i="4"/>
  <c r="Z607" i="4" s="1"/>
  <c r="S640" i="4"/>
  <c r="V641" i="4"/>
  <c r="W566" i="4"/>
  <c r="Z566" i="4"/>
  <c r="M640" i="4"/>
  <c r="H302" i="4"/>
  <c r="M719" i="4"/>
  <c r="N719" i="4" s="1"/>
  <c r="O560" i="4"/>
  <c r="W603" i="4"/>
  <c r="Z603" i="4"/>
  <c r="W567" i="4"/>
  <c r="L263" i="4"/>
  <c r="J263" i="4"/>
  <c r="Z228" i="4" s="1"/>
  <c r="G263" i="4"/>
  <c r="D263" i="4"/>
  <c r="W228" i="4" s="1"/>
  <c r="M262" i="4"/>
  <c r="H262" i="4"/>
  <c r="M261" i="4"/>
  <c r="H261" i="4"/>
  <c r="M260" i="4"/>
  <c r="H260" i="4"/>
  <c r="L256" i="4"/>
  <c r="J256" i="4"/>
  <c r="Z227" i="4" s="1"/>
  <c r="G256" i="4"/>
  <c r="D256" i="4"/>
  <c r="W227" i="4" s="1"/>
  <c r="M255" i="4"/>
  <c r="H255" i="4"/>
  <c r="M254" i="4"/>
  <c r="H254" i="4"/>
  <c r="M253" i="4"/>
  <c r="H253" i="4"/>
  <c r="L249" i="4"/>
  <c r="J249" i="4"/>
  <c r="Z226" i="4" s="1"/>
  <c r="G249" i="4"/>
  <c r="D249" i="4"/>
  <c r="W226" i="4" s="1"/>
  <c r="M248" i="4"/>
  <c r="H248" i="4"/>
  <c r="M247" i="4"/>
  <c r="H247" i="4"/>
  <c r="M246" i="4"/>
  <c r="H246" i="4"/>
  <c r="E75" i="18" s="1"/>
  <c r="H75" i="18" s="1"/>
  <c r="M245" i="4"/>
  <c r="H245" i="4"/>
  <c r="M244" i="4"/>
  <c r="H244" i="4"/>
  <c r="M243" i="4"/>
  <c r="H243" i="4"/>
  <c r="M242" i="4"/>
  <c r="H242" i="4"/>
  <c r="M241" i="4"/>
  <c r="H241" i="4"/>
  <c r="E74" i="18" s="1"/>
  <c r="H74" i="18" s="1"/>
  <c r="M240" i="4"/>
  <c r="H240" i="4"/>
  <c r="M239" i="4"/>
  <c r="H239" i="4"/>
  <c r="E73" i="18" s="1"/>
  <c r="H73" i="18" s="1"/>
  <c r="L235" i="4"/>
  <c r="J235" i="4"/>
  <c r="G235" i="4"/>
  <c r="D235" i="4"/>
  <c r="W225" i="4" s="1"/>
  <c r="Z234" i="4"/>
  <c r="W234" i="4"/>
  <c r="M234" i="4"/>
  <c r="H234" i="4"/>
  <c r="Z233" i="4"/>
  <c r="W233" i="4"/>
  <c r="M233" i="4"/>
  <c r="H233" i="4"/>
  <c r="Z232" i="4"/>
  <c r="W232" i="4"/>
  <c r="H232" i="4"/>
  <c r="H231" i="4"/>
  <c r="Z230" i="4"/>
  <c r="W230" i="4"/>
  <c r="H230" i="4"/>
  <c r="E72" i="18" s="1"/>
  <c r="H72" i="18" s="1"/>
  <c r="Z229" i="4"/>
  <c r="W229" i="4"/>
  <c r="H229" i="4"/>
  <c r="E71" i="18" s="1"/>
  <c r="H71" i="18" s="1"/>
  <c r="H228" i="4"/>
  <c r="H227" i="4"/>
  <c r="H226" i="4"/>
  <c r="E69" i="18" s="1"/>
  <c r="L219" i="4"/>
  <c r="J219" i="4"/>
  <c r="G219" i="4"/>
  <c r="D219" i="4"/>
  <c r="M218" i="4"/>
  <c r="H218" i="4"/>
  <c r="M217" i="4"/>
  <c r="H217" i="4"/>
  <c r="M216" i="4"/>
  <c r="H216" i="4"/>
  <c r="M215" i="4"/>
  <c r="H215" i="4"/>
  <c r="M214" i="4"/>
  <c r="H214" i="4"/>
  <c r="M213" i="4"/>
  <c r="H213" i="4"/>
  <c r="L208" i="4"/>
  <c r="J208" i="4"/>
  <c r="G208" i="4"/>
  <c r="D208" i="4"/>
  <c r="M207" i="4"/>
  <c r="H207" i="4"/>
  <c r="M206" i="4"/>
  <c r="H206" i="4"/>
  <c r="M205" i="4"/>
  <c r="H205" i="4"/>
  <c r="M204" i="4"/>
  <c r="H204" i="4"/>
  <c r="M203" i="4"/>
  <c r="H203" i="4"/>
  <c r="M202" i="4"/>
  <c r="H202" i="4"/>
  <c r="M201" i="4"/>
  <c r="H201" i="4"/>
  <c r="M200" i="4"/>
  <c r="H200" i="4"/>
  <c r="L195" i="4"/>
  <c r="J195" i="4"/>
  <c r="G195" i="4"/>
  <c r="D195" i="4"/>
  <c r="M194" i="4"/>
  <c r="H194" i="4"/>
  <c r="M193" i="4"/>
  <c r="H193" i="4"/>
  <c r="M192" i="4"/>
  <c r="H192" i="4"/>
  <c r="M191" i="4"/>
  <c r="H191" i="4"/>
  <c r="M190" i="4"/>
  <c r="H190" i="4"/>
  <c r="M189" i="4"/>
  <c r="H189" i="4"/>
  <c r="L185" i="4"/>
  <c r="J185" i="4"/>
  <c r="G185" i="4"/>
  <c r="D185" i="4"/>
  <c r="M184" i="4"/>
  <c r="H184" i="4"/>
  <c r="M183" i="4"/>
  <c r="H183" i="4"/>
  <c r="M182" i="4"/>
  <c r="H182" i="4"/>
  <c r="M181" i="4"/>
  <c r="H181" i="4"/>
  <c r="M180" i="4"/>
  <c r="H180" i="4"/>
  <c r="M179" i="4"/>
  <c r="H179" i="4"/>
  <c r="M178" i="4"/>
  <c r="H178" i="4"/>
  <c r="M177" i="4"/>
  <c r="H177" i="4"/>
  <c r="M176" i="4"/>
  <c r="H176" i="4"/>
  <c r="M175" i="4"/>
  <c r="H175" i="4"/>
  <c r="M174" i="4"/>
  <c r="H174" i="4"/>
  <c r="M173" i="4"/>
  <c r="H173" i="4"/>
  <c r="M172" i="4"/>
  <c r="H172" i="4"/>
  <c r="M171" i="4"/>
  <c r="H171" i="4"/>
  <c r="M170" i="4"/>
  <c r="H170" i="4"/>
  <c r="M169" i="4"/>
  <c r="H169" i="4"/>
  <c r="L165" i="4"/>
  <c r="J165" i="4"/>
  <c r="G165" i="4"/>
  <c r="D165" i="4"/>
  <c r="W139" i="4" s="1"/>
  <c r="E120" i="15" s="1"/>
  <c r="M164" i="4"/>
  <c r="H164" i="4"/>
  <c r="M163" i="4"/>
  <c r="H163" i="4"/>
  <c r="M162" i="4"/>
  <c r="H162" i="4"/>
  <c r="M161" i="4"/>
  <c r="H161" i="4"/>
  <c r="M160" i="4"/>
  <c r="H160" i="4"/>
  <c r="M159" i="4"/>
  <c r="H159" i="4"/>
  <c r="M158" i="4"/>
  <c r="H158" i="4"/>
  <c r="M157" i="4"/>
  <c r="H157" i="4"/>
  <c r="M156" i="4"/>
  <c r="H156" i="4"/>
  <c r="M155" i="4"/>
  <c r="H155" i="4"/>
  <c r="M154" i="4"/>
  <c r="H154" i="4"/>
  <c r="M153" i="4"/>
  <c r="H153" i="4"/>
  <c r="M152" i="4"/>
  <c r="H152" i="4"/>
  <c r="M151" i="4"/>
  <c r="H151" i="4"/>
  <c r="M150" i="4"/>
  <c r="H150" i="4"/>
  <c r="M149" i="4"/>
  <c r="H149" i="4"/>
  <c r="M148" i="4"/>
  <c r="H148" i="4"/>
  <c r="M147" i="4"/>
  <c r="H147" i="4"/>
  <c r="W146" i="4"/>
  <c r="M146" i="4"/>
  <c r="H146" i="4"/>
  <c r="Z145" i="4"/>
  <c r="F126" i="15" s="1"/>
  <c r="W145" i="4"/>
  <c r="E126" i="15" s="1"/>
  <c r="M145" i="4"/>
  <c r="H145" i="4"/>
  <c r="F125" i="15"/>
  <c r="W144" i="4"/>
  <c r="E125" i="15" s="1"/>
  <c r="M144" i="4"/>
  <c r="H144" i="4"/>
  <c r="F124" i="15"/>
  <c r="W143" i="4"/>
  <c r="E124" i="15" s="1"/>
  <c r="M143" i="4"/>
  <c r="H143" i="4"/>
  <c r="Z142" i="4"/>
  <c r="F123" i="15" s="1"/>
  <c r="W142" i="4"/>
  <c r="E123" i="15" s="1"/>
  <c r="M142" i="4"/>
  <c r="H142" i="4"/>
  <c r="M141" i="4"/>
  <c r="H141" i="4"/>
  <c r="M140" i="4"/>
  <c r="H140" i="4"/>
  <c r="M139" i="4"/>
  <c r="H139" i="4"/>
  <c r="L135" i="4"/>
  <c r="J135" i="4"/>
  <c r="G135" i="4"/>
  <c r="M134" i="4"/>
  <c r="H134" i="4"/>
  <c r="M133" i="4"/>
  <c r="H133" i="4"/>
  <c r="M132" i="4"/>
  <c r="H132" i="4"/>
  <c r="M131" i="4"/>
  <c r="H131" i="4"/>
  <c r="M130" i="4"/>
  <c r="H130" i="4"/>
  <c r="M129" i="4"/>
  <c r="H129" i="4"/>
  <c r="M128" i="4"/>
  <c r="H128" i="4"/>
  <c r="M127" i="4"/>
  <c r="H127" i="4"/>
  <c r="M126" i="4"/>
  <c r="H126" i="4"/>
  <c r="M125" i="4"/>
  <c r="H125" i="4"/>
  <c r="M124" i="4"/>
  <c r="H124" i="4"/>
  <c r="M123" i="4"/>
  <c r="H123" i="4"/>
  <c r="M122" i="4"/>
  <c r="H122" i="4"/>
  <c r="M121" i="4"/>
  <c r="H121" i="4"/>
  <c r="M120" i="4"/>
  <c r="H120" i="4"/>
  <c r="M119" i="4"/>
  <c r="H119" i="4"/>
  <c r="M118" i="4"/>
  <c r="H118" i="4"/>
  <c r="M117" i="4"/>
  <c r="H117" i="4"/>
  <c r="M116" i="4"/>
  <c r="H116" i="4"/>
  <c r="M115" i="4"/>
  <c r="H115" i="4"/>
  <c r="M114" i="4"/>
  <c r="H114" i="4"/>
  <c r="M113" i="4"/>
  <c r="H113" i="4"/>
  <c r="M112" i="4"/>
  <c r="H112" i="4"/>
  <c r="M111" i="4"/>
  <c r="M110" i="4"/>
  <c r="H110" i="4"/>
  <c r="M109" i="4"/>
  <c r="H109" i="4"/>
  <c r="M108" i="4"/>
  <c r="H108" i="4"/>
  <c r="M107" i="4"/>
  <c r="H107" i="4"/>
  <c r="M106" i="4"/>
  <c r="H106" i="4"/>
  <c r="M105" i="4"/>
  <c r="H105" i="4"/>
  <c r="M104" i="4"/>
  <c r="H104" i="4"/>
  <c r="M103" i="4"/>
  <c r="H103" i="4"/>
  <c r="M102" i="4"/>
  <c r="H102" i="4"/>
  <c r="M101" i="4"/>
  <c r="H101" i="4"/>
  <c r="M100" i="4"/>
  <c r="H100" i="4"/>
  <c r="M99" i="4"/>
  <c r="H99" i="4"/>
  <c r="M98" i="4"/>
  <c r="H98" i="4"/>
  <c r="M97" i="4"/>
  <c r="H97" i="4"/>
  <c r="M96" i="4"/>
  <c r="H96" i="4"/>
  <c r="M95" i="4"/>
  <c r="H95" i="4"/>
  <c r="M94" i="4"/>
  <c r="H94" i="4"/>
  <c r="M93" i="4"/>
  <c r="H93" i="4"/>
  <c r="M92" i="4"/>
  <c r="H92" i="4"/>
  <c r="M91" i="4"/>
  <c r="H91" i="4"/>
  <c r="M90" i="4"/>
  <c r="H90" i="4"/>
  <c r="M89" i="4"/>
  <c r="H89" i="4"/>
  <c r="M88" i="4"/>
  <c r="H88" i="4"/>
  <c r="M87" i="4"/>
  <c r="H87" i="4"/>
  <c r="M86" i="4"/>
  <c r="H86" i="4"/>
  <c r="M85" i="4"/>
  <c r="H85" i="4"/>
  <c r="M84" i="4"/>
  <c r="H84" i="4"/>
  <c r="M83" i="4"/>
  <c r="H83" i="4"/>
  <c r="M82" i="4"/>
  <c r="F39" i="18" s="1"/>
  <c r="H39" i="18" s="1"/>
  <c r="H82" i="4"/>
  <c r="M81" i="4"/>
  <c r="H81" i="4"/>
  <c r="M80" i="4"/>
  <c r="H80" i="4"/>
  <c r="M79" i="4"/>
  <c r="H79" i="4"/>
  <c r="M78" i="4"/>
  <c r="H78" i="4"/>
  <c r="M77" i="4"/>
  <c r="H77" i="4"/>
  <c r="M76" i="4"/>
  <c r="H76" i="4"/>
  <c r="M75" i="4"/>
  <c r="H75" i="4"/>
  <c r="M74" i="4"/>
  <c r="H74" i="4"/>
  <c r="M73" i="4"/>
  <c r="F32" i="18" s="1"/>
  <c r="H73" i="4"/>
  <c r="E32" i="18" s="1"/>
  <c r="E43" i="18" s="1"/>
  <c r="M72" i="4"/>
  <c r="H72" i="4"/>
  <c r="Z65" i="4"/>
  <c r="W65" i="4"/>
  <c r="S65" i="4"/>
  <c r="F43" i="18" l="1"/>
  <c r="H32" i="18"/>
  <c r="H135" i="18"/>
  <c r="E87" i="18"/>
  <c r="H87" i="18" s="1"/>
  <c r="H69" i="18"/>
  <c r="W560" i="4"/>
  <c r="Z141" i="4"/>
  <c r="H185" i="4"/>
  <c r="Z139" i="4"/>
  <c r="F120" i="15" s="1"/>
  <c r="G120" i="15" s="1"/>
  <c r="W236" i="4"/>
  <c r="E150" i="15" s="1"/>
  <c r="Z602" i="4"/>
  <c r="Z601" i="4"/>
  <c r="H208" i="4"/>
  <c r="M601" i="4"/>
  <c r="W148" i="4"/>
  <c r="E128" i="15" s="1"/>
  <c r="Z148" i="4"/>
  <c r="F128" i="15" s="1"/>
  <c r="M256" i="4"/>
  <c r="Z140" i="4"/>
  <c r="F121" i="15" s="1"/>
  <c r="H263" i="4"/>
  <c r="M165" i="4"/>
  <c r="H235" i="4"/>
  <c r="Z225" i="4"/>
  <c r="Z235" i="4" s="1"/>
  <c r="W235" i="4"/>
  <c r="Z560" i="4"/>
  <c r="M560" i="4"/>
  <c r="H165" i="4"/>
  <c r="H249" i="4"/>
  <c r="H256" i="4"/>
  <c r="M185" i="4"/>
  <c r="M208" i="4"/>
  <c r="F150" i="15"/>
  <c r="M263" i="4"/>
  <c r="H195" i="4"/>
  <c r="K640" i="4"/>
  <c r="M641" i="4"/>
  <c r="I682" i="4" s="1"/>
  <c r="F33" i="25" s="1"/>
  <c r="P640" i="4"/>
  <c r="P641" i="4" s="1"/>
  <c r="I684" i="4" s="1"/>
  <c r="S641" i="4"/>
  <c r="M135" i="4"/>
  <c r="W140" i="4"/>
  <c r="E121" i="15" s="1"/>
  <c r="W141" i="4"/>
  <c r="E122" i="15" s="1"/>
  <c r="F122" i="15"/>
  <c r="G123" i="15"/>
  <c r="G125" i="15"/>
  <c r="G126" i="15"/>
  <c r="M219" i="4"/>
  <c r="G124" i="15"/>
  <c r="H219" i="4"/>
  <c r="M249" i="4"/>
  <c r="M235" i="4"/>
  <c r="Z138" i="4"/>
  <c r="H135" i="4"/>
  <c r="W138" i="4"/>
  <c r="E119" i="15" s="1"/>
  <c r="P65" i="4"/>
  <c r="M63" i="4"/>
  <c r="K63" i="4"/>
  <c r="M61" i="4"/>
  <c r="K61" i="4"/>
  <c r="G17" i="10" l="1"/>
  <c r="K559" i="4"/>
  <c r="G18" i="10" s="1"/>
  <c r="H18" i="10" s="1"/>
  <c r="H43" i="18"/>
  <c r="A20" i="18"/>
  <c r="F35" i="25"/>
  <c r="B347" i="16"/>
  <c r="A343" i="16"/>
  <c r="F386" i="16"/>
  <c r="F35" i="11"/>
  <c r="H727" i="4"/>
  <c r="P727" i="4" s="1"/>
  <c r="M684" i="4"/>
  <c r="N684" i="4"/>
  <c r="W602" i="4"/>
  <c r="W237" i="4"/>
  <c r="K602" i="4" s="1"/>
  <c r="F68" i="15" s="1"/>
  <c r="T608" i="4"/>
  <c r="T611" i="4" s="1"/>
  <c r="O601" i="4"/>
  <c r="W601" i="4"/>
  <c r="Z237" i="4"/>
  <c r="G122" i="15"/>
  <c r="M65" i="4"/>
  <c r="W147" i="4"/>
  <c r="W152" i="4" s="1"/>
  <c r="K65" i="4"/>
  <c r="G121" i="15"/>
  <c r="H725" i="4"/>
  <c r="F33" i="11"/>
  <c r="M682" i="4"/>
  <c r="N682" i="4" s="1"/>
  <c r="T558" i="4"/>
  <c r="W558" i="4" s="1"/>
  <c r="F334" i="16"/>
  <c r="F335" i="16" s="1"/>
  <c r="F337" i="16" s="1"/>
  <c r="A325" i="16" s="1"/>
  <c r="K641" i="4"/>
  <c r="I683" i="4" s="1"/>
  <c r="F34" i="25" s="1"/>
  <c r="E68" i="15"/>
  <c r="F119" i="15"/>
  <c r="F127" i="15" s="1"/>
  <c r="F129" i="15" s="1"/>
  <c r="X119" i="15"/>
  <c r="Z147" i="4"/>
  <c r="Z149" i="4" s="1"/>
  <c r="F99" i="15" s="1"/>
  <c r="Z58" i="4"/>
  <c r="W58" i="4"/>
  <c r="Q552" i="4" s="1"/>
  <c r="S58" i="4"/>
  <c r="P58" i="4"/>
  <c r="M56" i="4"/>
  <c r="K56" i="4"/>
  <c r="M55" i="4"/>
  <c r="K55" i="4"/>
  <c r="B55" i="4"/>
  <c r="M54" i="4"/>
  <c r="K54" i="4"/>
  <c r="M52" i="4"/>
  <c r="K52" i="4"/>
  <c r="Z49" i="4"/>
  <c r="W49" i="4"/>
  <c r="S49" i="4"/>
  <c r="P49" i="4"/>
  <c r="M47" i="4"/>
  <c r="K47" i="4"/>
  <c r="M46" i="4"/>
  <c r="K46" i="4"/>
  <c r="M45" i="4"/>
  <c r="K45" i="4"/>
  <c r="M44" i="4"/>
  <c r="K44" i="4"/>
  <c r="B44" i="4"/>
  <c r="M43" i="4"/>
  <c r="K43" i="4"/>
  <c r="M41" i="4"/>
  <c r="K41" i="4"/>
  <c r="Z38" i="4"/>
  <c r="W38" i="4"/>
  <c r="S38" i="4"/>
  <c r="M35" i="4"/>
  <c r="K35" i="4"/>
  <c r="M34" i="4"/>
  <c r="K34" i="4"/>
  <c r="M33" i="4"/>
  <c r="K33" i="4"/>
  <c r="M32" i="4"/>
  <c r="K32" i="4"/>
  <c r="K31" i="4"/>
  <c r="B31" i="4"/>
  <c r="K30" i="4"/>
  <c r="K38" i="4" s="1"/>
  <c r="M28" i="4"/>
  <c r="K28" i="4"/>
  <c r="Q25" i="4"/>
  <c r="Q24" i="4"/>
  <c r="A48" i="9" s="1"/>
  <c r="M14" i="4"/>
  <c r="M12" i="4"/>
  <c r="M38" i="4" l="1"/>
  <c r="O602" i="4"/>
  <c r="M602" i="4"/>
  <c r="G68" i="15"/>
  <c r="E49" i="15"/>
  <c r="B22" i="16"/>
  <c r="B159" i="16"/>
  <c r="W608" i="4"/>
  <c r="B24" i="20"/>
  <c r="B445" i="16"/>
  <c r="B294" i="16"/>
  <c r="B41" i="16"/>
  <c r="B146" i="16"/>
  <c r="B71" i="16"/>
  <c r="B85" i="20"/>
  <c r="B431" i="16"/>
  <c r="B259" i="16"/>
  <c r="B165" i="16"/>
  <c r="B198" i="16"/>
  <c r="B12" i="20"/>
  <c r="B490" i="16"/>
  <c r="B344" i="16"/>
  <c r="B131" i="16"/>
  <c r="B58" i="16"/>
  <c r="F9" i="25"/>
  <c r="B451" i="16"/>
  <c r="B180" i="16"/>
  <c r="B410" i="16"/>
  <c r="B86" i="16"/>
  <c r="B392" i="16"/>
  <c r="B210" i="16"/>
  <c r="B374" i="16"/>
  <c r="B7" i="16"/>
  <c r="K7" i="16" s="1"/>
  <c r="B326" i="16"/>
  <c r="E50" i="15"/>
  <c r="F34" i="15"/>
  <c r="Z608" i="4"/>
  <c r="B122" i="20"/>
  <c r="B120" i="20"/>
  <c r="B118" i="20"/>
  <c r="B107" i="20"/>
  <c r="B18" i="20"/>
  <c r="B103" i="20"/>
  <c r="B45" i="4"/>
  <c r="B46" i="4" s="1"/>
  <c r="B47" i="4" s="1"/>
  <c r="B466" i="16"/>
  <c r="B7" i="25"/>
  <c r="B186" i="16"/>
  <c r="A37" i="9"/>
  <c r="B478" i="16"/>
  <c r="B358" i="16"/>
  <c r="B359" i="16"/>
  <c r="B360" i="16"/>
  <c r="B7" i="24"/>
  <c r="M49" i="4"/>
  <c r="K58" i="4"/>
  <c r="K596" i="4" s="1"/>
  <c r="M58" i="4"/>
  <c r="T552" i="4" s="1"/>
  <c r="W552" i="4" s="1"/>
  <c r="M559" i="4"/>
  <c r="O559" i="4"/>
  <c r="P41" i="4"/>
  <c r="B7" i="12"/>
  <c r="A13" i="9"/>
  <c r="B8" i="10"/>
  <c r="A26" i="9"/>
  <c r="O558" i="4"/>
  <c r="K49" i="4"/>
  <c r="M558" i="4"/>
  <c r="W149" i="4"/>
  <c r="E99" i="15" s="1"/>
  <c r="H726" i="4"/>
  <c r="P726" i="4" s="1"/>
  <c r="F385" i="16"/>
  <c r="F34" i="11"/>
  <c r="M683" i="4"/>
  <c r="J69" i="4"/>
  <c r="W61" i="4"/>
  <c r="W28" i="4"/>
  <c r="W52" i="4"/>
  <c r="B56" i="4"/>
  <c r="Z558" i="4"/>
  <c r="I17" i="10"/>
  <c r="P725" i="4"/>
  <c r="B422" i="16"/>
  <c r="B405" i="16"/>
  <c r="B403" i="16"/>
  <c r="B336" i="16"/>
  <c r="B316" i="16"/>
  <c r="B335" i="16"/>
  <c r="B317" i="16"/>
  <c r="B423" i="16"/>
  <c r="B421" i="16"/>
  <c r="B404" i="16"/>
  <c r="B337" i="16"/>
  <c r="B282" i="16"/>
  <c r="B280" i="16"/>
  <c r="B315" i="16"/>
  <c r="B281" i="16"/>
  <c r="B245" i="16"/>
  <c r="A179" i="16"/>
  <c r="B7" i="11"/>
  <c r="A64" i="9"/>
  <c r="A6" i="5"/>
  <c r="B806" i="4"/>
  <c r="B741" i="4"/>
  <c r="A5" i="18"/>
  <c r="B69" i="4"/>
  <c r="B644" i="4" s="1"/>
  <c r="P61" i="4"/>
  <c r="P28" i="4"/>
  <c r="W41" i="4"/>
  <c r="P52" i="4"/>
  <c r="X99" i="15"/>
  <c r="Q611" i="4"/>
  <c r="W611" i="4" s="1"/>
  <c r="T617" i="4"/>
  <c r="E127" i="15"/>
  <c r="G119" i="15"/>
  <c r="H17" i="10"/>
  <c r="Q596" i="4"/>
  <c r="Q548" i="4"/>
  <c r="Z552" i="4"/>
  <c r="X49" i="15"/>
  <c r="F49" i="15"/>
  <c r="G49" i="15" s="1"/>
  <c r="B32" i="4"/>
  <c r="B33" i="4" s="1"/>
  <c r="B34" i="4" s="1"/>
  <c r="B35" i="4" s="1"/>
  <c r="B36" i="4" s="1"/>
  <c r="F35" i="15"/>
  <c r="G35" i="15" s="1"/>
  <c r="E52" i="15"/>
  <c r="E53" i="15"/>
  <c r="E54" i="15"/>
  <c r="C86" i="14"/>
  <c r="A2" i="8"/>
  <c r="C97" i="14"/>
  <c r="C69" i="14"/>
  <c r="C7" i="14"/>
  <c r="C52" i="14"/>
  <c r="B5" i="12"/>
  <c r="B5" i="11"/>
  <c r="B6" i="10"/>
  <c r="A3" i="8"/>
  <c r="B27" i="6"/>
  <c r="B12" i="6"/>
  <c r="B20" i="6"/>
  <c r="A2" i="5"/>
  <c r="D54" i="23"/>
  <c r="E53" i="23"/>
  <c r="E52" i="23"/>
  <c r="E51" i="23"/>
  <c r="E50" i="23"/>
  <c r="E49" i="23"/>
  <c r="E48" i="23"/>
  <c r="C47" i="23"/>
  <c r="E46" i="23"/>
  <c r="E45" i="23"/>
  <c r="E44" i="23"/>
  <c r="E43" i="23"/>
  <c r="E42" i="23"/>
  <c r="E41" i="23"/>
  <c r="E40" i="23"/>
  <c r="E39" i="23"/>
  <c r="E38" i="23"/>
  <c r="E37" i="23"/>
  <c r="E36" i="23"/>
  <c r="E35" i="23"/>
  <c r="E34" i="23"/>
  <c r="E33" i="23"/>
  <c r="E32" i="23"/>
  <c r="H31" i="23"/>
  <c r="G31" i="23" s="1"/>
  <c r="E31" i="23"/>
  <c r="H30" i="23"/>
  <c r="T596" i="4" l="1"/>
  <c r="W596" i="4" s="1"/>
  <c r="K552" i="4"/>
  <c r="G99" i="15"/>
  <c r="Q542" i="4"/>
  <c r="J520" i="4"/>
  <c r="J507" i="4"/>
  <c r="J493" i="4"/>
  <c r="J482" i="4"/>
  <c r="J399" i="4"/>
  <c r="J320" i="4"/>
  <c r="J303" i="4"/>
  <c r="Q586" i="4"/>
  <c r="J473" i="4"/>
  <c r="J459" i="4"/>
  <c r="J445" i="4"/>
  <c r="J431" i="4"/>
  <c r="J415" i="4"/>
  <c r="J385" i="4"/>
  <c r="J367" i="4"/>
  <c r="J355" i="4"/>
  <c r="J341" i="4"/>
  <c r="J281" i="4"/>
  <c r="J274" i="4"/>
  <c r="J264" i="4"/>
  <c r="J290" i="4"/>
  <c r="B290" i="4" s="1"/>
  <c r="M289" i="4" s="1"/>
  <c r="J257" i="4"/>
  <c r="J250" i="4"/>
  <c r="J236" i="4"/>
  <c r="J223" i="4"/>
  <c r="J209" i="4"/>
  <c r="J197" i="4"/>
  <c r="J186" i="4"/>
  <c r="J166" i="4"/>
  <c r="J136" i="4"/>
  <c r="I552" i="4"/>
  <c r="E47" i="23"/>
  <c r="H732" i="4"/>
  <c r="H721" i="4"/>
  <c r="W721" i="4" s="1"/>
  <c r="I647" i="4"/>
  <c r="B621" i="4"/>
  <c r="D641" i="4" s="1"/>
  <c r="Y640" i="4" s="1"/>
  <c r="Y641" i="4" s="1"/>
  <c r="I685" i="4" s="1"/>
  <c r="B366" i="16" s="1"/>
  <c r="I586" i="4"/>
  <c r="B473" i="4"/>
  <c r="B459" i="4"/>
  <c r="B445" i="4"/>
  <c r="B431" i="4"/>
  <c r="B415" i="4"/>
  <c r="B385" i="4"/>
  <c r="B367" i="4"/>
  <c r="B355" i="4"/>
  <c r="B341" i="4"/>
  <c r="B303" i="4"/>
  <c r="M302" i="4" s="1"/>
  <c r="T559" i="4" s="1"/>
  <c r="I542" i="4"/>
  <c r="B520" i="4"/>
  <c r="B507" i="4"/>
  <c r="B493" i="4"/>
  <c r="B482" i="4"/>
  <c r="B399" i="4"/>
  <c r="B320" i="4"/>
  <c r="B281" i="4"/>
  <c r="B274" i="4"/>
  <c r="M273" i="4" s="1"/>
  <c r="P88" i="4"/>
  <c r="P80" i="4"/>
  <c r="P74" i="4"/>
  <c r="B264" i="4"/>
  <c r="B257" i="4"/>
  <c r="B250" i="4"/>
  <c r="B236" i="4"/>
  <c r="B223" i="4"/>
  <c r="B209" i="4"/>
  <c r="B197" i="4"/>
  <c r="M195" i="4" s="1"/>
  <c r="B186" i="4"/>
  <c r="B166" i="4"/>
  <c r="B136" i="4"/>
  <c r="P84" i="4"/>
  <c r="G127" i="15"/>
  <c r="E129" i="15"/>
  <c r="Z611" i="4"/>
  <c r="Q617" i="4"/>
  <c r="W617" i="4" s="1"/>
  <c r="Q546" i="4"/>
  <c r="Z596" i="4"/>
  <c r="Q592" i="4"/>
  <c r="E30" i="23"/>
  <c r="H29" i="23"/>
  <c r="G29" i="23"/>
  <c r="E29" i="23"/>
  <c r="C28" i="23"/>
  <c r="E28" i="23" s="1"/>
  <c r="C27" i="23"/>
  <c r="E26" i="23"/>
  <c r="C25" i="23"/>
  <c r="C24" i="23"/>
  <c r="A24" i="23" s="1"/>
  <c r="C23" i="23"/>
  <c r="D17" i="23"/>
  <c r="C17" i="23"/>
  <c r="E10" i="23"/>
  <c r="E9" i="23"/>
  <c r="E8" i="23"/>
  <c r="A8" i="23"/>
  <c r="E7" i="23"/>
  <c r="C106" i="15" l="1"/>
  <c r="Y106" i="15"/>
  <c r="F36" i="25"/>
  <c r="F38" i="25" s="1"/>
  <c r="F45" i="25" s="1"/>
  <c r="H728" i="4"/>
  <c r="A365" i="16"/>
  <c r="F36" i="11"/>
  <c r="F38" i="11" s="1"/>
  <c r="F45" i="11" s="1"/>
  <c r="I688" i="4"/>
  <c r="I29" i="23"/>
  <c r="C54" i="23"/>
  <c r="C56" i="23" s="1"/>
  <c r="E17" i="23"/>
  <c r="A9" i="23"/>
  <c r="A10" i="23" s="1"/>
  <c r="E23" i="23"/>
  <c r="A25" i="23"/>
  <c r="E24" i="23" s="1"/>
  <c r="G30" i="23"/>
  <c r="O552" i="4"/>
  <c r="I596" i="4"/>
  <c r="I548" i="4"/>
  <c r="W559" i="4"/>
  <c r="I18" i="10"/>
  <c r="Z559" i="4"/>
  <c r="M552" i="4"/>
  <c r="Z617" i="4"/>
  <c r="I580" i="4"/>
  <c r="Q554" i="4"/>
  <c r="I701" i="4" l="1"/>
  <c r="I702" i="4" s="1"/>
  <c r="M688" i="4"/>
  <c r="N688" i="4" s="1"/>
  <c r="P728" i="4"/>
  <c r="H730" i="4"/>
  <c r="A26" i="23"/>
  <c r="E25" i="23" s="1"/>
  <c r="O596" i="4"/>
  <c r="I592" i="4"/>
  <c r="M596" i="4"/>
  <c r="F13" i="10"/>
  <c r="F14" i="10" s="1"/>
  <c r="I546" i="4"/>
  <c r="A27" i="23" l="1"/>
  <c r="A28" i="23" s="1"/>
  <c r="A29" i="9"/>
  <c r="W723" i="4"/>
  <c r="P723" i="4" s="1"/>
  <c r="E27" i="23"/>
  <c r="A29" i="23"/>
  <c r="A30" i="23" s="1"/>
  <c r="A31" i="23" s="1"/>
  <c r="A32" i="23" s="1"/>
  <c r="Z591" i="4"/>
  <c r="I590" i="4"/>
  <c r="I598" i="4" s="1"/>
  <c r="I31" i="23" l="1"/>
  <c r="A33" i="23"/>
  <c r="A34" i="23" s="1"/>
  <c r="A35" i="23" s="1"/>
  <c r="A36" i="23" s="1"/>
  <c r="A37" i="23" s="1"/>
  <c r="A38" i="23" s="1"/>
  <c r="A39" i="23" s="1"/>
  <c r="A40" i="23" s="1"/>
  <c r="A41" i="23" s="1"/>
  <c r="A42" i="23" s="1"/>
  <c r="A43" i="23" s="1"/>
  <c r="A44" i="23" s="1"/>
  <c r="A45" i="23" s="1"/>
  <c r="A46" i="23" s="1"/>
  <c r="A47" i="23" s="1"/>
  <c r="A48" i="23" s="1"/>
  <c r="A49" i="23" s="1"/>
  <c r="A50" i="23" s="1"/>
  <c r="A51" i="23" s="1"/>
  <c r="A52" i="23" s="1"/>
  <c r="E54" i="23"/>
  <c r="I30" i="23"/>
  <c r="E3" i="3"/>
  <c r="E4" i="3" s="1"/>
  <c r="AZ96" i="1"/>
  <c r="AL96" i="1"/>
  <c r="X96" i="1"/>
  <c r="J96" i="1"/>
  <c r="AZ95" i="1"/>
  <c r="AL95" i="1"/>
  <c r="X95" i="1"/>
  <c r="J95" i="1"/>
  <c r="AL94" i="1"/>
  <c r="J94" i="1"/>
  <c r="AZ93" i="1"/>
  <c r="AL93" i="1"/>
  <c r="X93" i="1"/>
  <c r="J93" i="1"/>
  <c r="AL92" i="1"/>
  <c r="J92" i="1"/>
  <c r="AL91" i="1"/>
  <c r="J91" i="1"/>
  <c r="AL90" i="1"/>
  <c r="J90" i="1"/>
  <c r="AZ89" i="1"/>
  <c r="AL89" i="1"/>
  <c r="X89" i="1"/>
  <c r="J89" i="1"/>
  <c r="X83" i="1"/>
  <c r="J83" i="1"/>
  <c r="X82" i="1"/>
  <c r="J82" i="1"/>
  <c r="X81" i="1"/>
  <c r="J81" i="1"/>
  <c r="X79" i="1"/>
  <c r="J79" i="1"/>
  <c r="X78" i="1"/>
  <c r="J78" i="1"/>
  <c r="AZ72" i="1"/>
  <c r="AL72" i="1"/>
  <c r="X72" i="1"/>
  <c r="J72" i="1"/>
  <c r="AZ71" i="1"/>
  <c r="AL71" i="1"/>
  <c r="X71" i="1"/>
  <c r="J71" i="1"/>
  <c r="AZ70" i="1"/>
  <c r="AL70" i="1"/>
  <c r="X70" i="1"/>
  <c r="J70" i="1"/>
  <c r="AZ69" i="1"/>
  <c r="AL69" i="1"/>
  <c r="X69" i="1"/>
  <c r="J69" i="1"/>
  <c r="AZ68" i="1"/>
  <c r="AL68" i="1"/>
  <c r="X68" i="1"/>
  <c r="J68" i="1"/>
  <c r="AZ60" i="1" l="1"/>
  <c r="X60" i="1" l="1"/>
  <c r="AZ59" i="1" l="1"/>
  <c r="X59" i="1" l="1"/>
  <c r="AZ58" i="1"/>
  <c r="X58" i="1"/>
  <c r="AZ57" i="1" l="1"/>
  <c r="X57" i="1"/>
  <c r="AZ56" i="1" l="1"/>
  <c r="X56" i="1"/>
  <c r="AZ55" i="1" l="1"/>
  <c r="X55" i="1"/>
  <c r="AZ54" i="1" l="1"/>
  <c r="X54" i="1"/>
  <c r="AZ53" i="1"/>
  <c r="X53" i="1"/>
  <c r="AZ52" i="1"/>
  <c r="X52" i="1"/>
  <c r="AZ51" i="1"/>
  <c r="X51" i="1"/>
  <c r="AZ50" i="1"/>
  <c r="X50" i="1"/>
  <c r="AZ49" i="1"/>
  <c r="X49" i="1"/>
  <c r="AS48" i="1"/>
  <c r="AE48" i="1"/>
  <c r="Q48" i="1"/>
  <c r="C48" i="1"/>
  <c r="AZ47" i="1"/>
  <c r="AL47" i="1"/>
  <c r="X47" i="1"/>
  <c r="J47" i="1"/>
  <c r="AZ46" i="1"/>
  <c r="AL46" i="1"/>
  <c r="X46" i="1"/>
  <c r="J46" i="1"/>
  <c r="AZ45" i="1"/>
  <c r="AL45" i="1"/>
  <c r="X45" i="1"/>
  <c r="J45" i="1"/>
  <c r="AZ44" i="1"/>
  <c r="AL44" i="1"/>
  <c r="X44" i="1"/>
  <c r="J44" i="1"/>
  <c r="AZ43" i="1"/>
  <c r="AL43" i="1"/>
  <c r="X43" i="1"/>
  <c r="J43" i="1"/>
  <c r="AZ42" i="1"/>
  <c r="AL42" i="1"/>
  <c r="X42" i="1"/>
  <c r="J42" i="1"/>
  <c r="AZ41" i="1"/>
  <c r="AL41" i="1"/>
  <c r="X41" i="1"/>
  <c r="J41" i="1"/>
  <c r="AZ40" i="1"/>
  <c r="AL40" i="1"/>
  <c r="X40" i="1"/>
  <c r="J40" i="1"/>
  <c r="AZ39" i="1"/>
  <c r="AL39" i="1"/>
  <c r="X39" i="1"/>
  <c r="J39" i="1"/>
  <c r="AZ38" i="1"/>
  <c r="AL38" i="1"/>
  <c r="X38" i="1"/>
  <c r="J38" i="1"/>
  <c r="AZ37" i="1"/>
  <c r="AL37" i="1"/>
  <c r="X37" i="1"/>
  <c r="J37" i="1"/>
  <c r="AZ36" i="1"/>
  <c r="AL36" i="1"/>
  <c r="X36" i="1"/>
  <c r="J36" i="1"/>
  <c r="AZ35" i="1"/>
  <c r="AL35" i="1"/>
  <c r="X35" i="1"/>
  <c r="J35" i="1"/>
  <c r="AZ34" i="1"/>
  <c r="AL34" i="1"/>
  <c r="X34" i="1"/>
  <c r="J34" i="1"/>
  <c r="AZ33" i="1"/>
  <c r="AL33" i="1"/>
  <c r="X33" i="1"/>
  <c r="J33" i="1"/>
  <c r="AZ32" i="1"/>
  <c r="AL32" i="1"/>
  <c r="X32" i="1"/>
  <c r="J32" i="1"/>
  <c r="AZ31" i="1"/>
  <c r="AL31" i="1"/>
  <c r="X31" i="1"/>
  <c r="J31" i="1"/>
  <c r="V26" i="1"/>
  <c r="S26" i="1"/>
  <c r="L25" i="1"/>
  <c r="J25" i="1"/>
  <c r="L24" i="1"/>
  <c r="J24" i="1"/>
  <c r="L23" i="1"/>
  <c r="J23" i="1"/>
  <c r="L22" i="1"/>
  <c r="J22" i="1"/>
  <c r="L21" i="1"/>
  <c r="J21" i="1"/>
  <c r="J26" i="1" s="1"/>
  <c r="S19" i="1"/>
  <c r="L19" i="1"/>
  <c r="J19" i="1"/>
  <c r="F54" i="11"/>
  <c r="F55" i="11" s="1"/>
  <c r="I16" i="12"/>
  <c r="I17" i="12" s="1"/>
  <c r="I30" i="12" s="1"/>
  <c r="I48" i="12" s="1"/>
  <c r="G54" i="11"/>
  <c r="G55" i="11" s="1"/>
  <c r="F57" i="11"/>
  <c r="F58" i="11" s="1"/>
  <c r="G57" i="11"/>
  <c r="G58" i="11" s="1"/>
  <c r="H16" i="12"/>
  <c r="H17" i="12" s="1"/>
  <c r="H30" i="12" s="1"/>
  <c r="H48" i="12" s="1"/>
  <c r="I47" i="12"/>
  <c r="H47" i="12"/>
  <c r="G34" i="15"/>
  <c r="F33" i="15"/>
  <c r="F36" i="15"/>
  <c r="G36" i="15" s="1"/>
  <c r="F37" i="15"/>
  <c r="G37" i="15" s="1"/>
  <c r="F38" i="15"/>
  <c r="G38" i="15" s="1"/>
  <c r="G39" i="15"/>
  <c r="F52" i="15"/>
  <c r="G52" i="15" s="1"/>
  <c r="F54" i="15"/>
  <c r="G54" i="15" s="1"/>
  <c r="F53" i="15"/>
  <c r="G53" i="15" s="1"/>
  <c r="F50" i="15"/>
  <c r="G50" i="15" s="1"/>
  <c r="F51" i="15"/>
  <c r="G55" i="15"/>
  <c r="E51" i="15"/>
  <c r="E57" i="15" s="1"/>
  <c r="F67" i="15"/>
  <c r="F70" i="15"/>
  <c r="E67" i="15"/>
  <c r="E70" i="15"/>
  <c r="E100" i="15"/>
  <c r="E102" i="15"/>
  <c r="F100" i="15"/>
  <c r="G101" i="15"/>
  <c r="E142" i="15"/>
  <c r="F142" i="15"/>
  <c r="E146" i="15"/>
  <c r="F146" i="15"/>
  <c r="E148" i="15"/>
  <c r="F148" i="15"/>
  <c r="F139" i="15"/>
  <c r="F140" i="15"/>
  <c r="F141" i="15"/>
  <c r="F144" i="15"/>
  <c r="F145" i="15"/>
  <c r="F147" i="15"/>
  <c r="E139" i="15"/>
  <c r="E140" i="15"/>
  <c r="E141" i="15"/>
  <c r="E144" i="15"/>
  <c r="E145" i="15"/>
  <c r="E147" i="15"/>
  <c r="F165" i="15"/>
  <c r="F200" i="15" s="1"/>
  <c r="F201" i="15" s="1"/>
  <c r="F166" i="15"/>
  <c r="F167" i="15"/>
  <c r="G167" i="15" s="1"/>
  <c r="F168" i="15"/>
  <c r="F246" i="15" s="1"/>
  <c r="F247" i="15" s="1"/>
  <c r="F249" i="15" s="1"/>
  <c r="E165" i="15"/>
  <c r="E168" i="15"/>
  <c r="E246" i="15" s="1"/>
  <c r="G164" i="15"/>
  <c r="G170" i="15"/>
  <c r="F384" i="16"/>
  <c r="F387" i="16" s="1"/>
  <c r="G33" i="15" l="1"/>
  <c r="F41" i="15"/>
  <c r="L26" i="1"/>
  <c r="G246" i="15"/>
  <c r="E247" i="15"/>
  <c r="I11" i="24"/>
  <c r="G165" i="15"/>
  <c r="E200" i="15"/>
  <c r="G141" i="15"/>
  <c r="G148" i="15"/>
  <c r="G144" i="15"/>
  <c r="G147" i="15"/>
  <c r="G140" i="15"/>
  <c r="G100" i="15"/>
  <c r="X48" i="1"/>
  <c r="G168" i="15"/>
  <c r="G142" i="15"/>
  <c r="J48" i="1"/>
  <c r="AL48" i="1"/>
  <c r="C49" i="1"/>
  <c r="AZ48" i="1" s="1"/>
  <c r="AE49" i="1"/>
  <c r="AL49" i="1" s="1"/>
  <c r="F169" i="15"/>
  <c r="F171" i="15" s="1"/>
  <c r="G70" i="15"/>
  <c r="F71" i="15"/>
  <c r="G67" i="15"/>
  <c r="G166" i="15"/>
  <c r="E71" i="15"/>
  <c r="E73" i="15" s="1"/>
  <c r="E169" i="15"/>
  <c r="E171" i="15" s="1"/>
  <c r="G59" i="11"/>
  <c r="G146" i="15"/>
  <c r="G145" i="15"/>
  <c r="G150" i="15"/>
  <c r="E149" i="15"/>
  <c r="E151" i="15" s="1"/>
  <c r="F149" i="15"/>
  <c r="F151" i="15" s="1"/>
  <c r="G139" i="15"/>
  <c r="E103" i="15"/>
  <c r="A105" i="15"/>
  <c r="G128" i="15"/>
  <c r="F57" i="15"/>
  <c r="G57" i="15" s="1"/>
  <c r="G51" i="15"/>
  <c r="F59" i="11"/>
  <c r="D387" i="16"/>
  <c r="G129" i="15"/>
  <c r="C112" i="15" s="1"/>
  <c r="C42" i="15" l="1"/>
  <c r="Y132" i="15"/>
  <c r="C132" i="15"/>
  <c r="C154" i="15"/>
  <c r="Y158" i="15"/>
  <c r="Y42" i="15"/>
  <c r="G247" i="15"/>
  <c r="E249" i="15"/>
  <c r="A153" i="15"/>
  <c r="E201" i="15"/>
  <c r="G201" i="15" s="1"/>
  <c r="G200" i="15"/>
  <c r="G169" i="15"/>
  <c r="AE50" i="1"/>
  <c r="AE51" i="1" s="1"/>
  <c r="AL51" i="1" s="1"/>
  <c r="J49" i="1"/>
  <c r="C50" i="1"/>
  <c r="C51" i="1" s="1"/>
  <c r="J51" i="1" s="1"/>
  <c r="G71" i="15"/>
  <c r="G41" i="15"/>
  <c r="C24" i="15" s="1"/>
  <c r="G149" i="15"/>
  <c r="G151" i="15"/>
  <c r="C134" i="15" s="1"/>
  <c r="A23" i="15"/>
  <c r="G171" i="15"/>
  <c r="C158" i="15" s="1"/>
  <c r="C238" i="15" l="1"/>
  <c r="G249" i="15"/>
  <c r="C52" i="1"/>
  <c r="C53" i="1" s="1"/>
  <c r="J53" i="1" s="1"/>
  <c r="J50" i="1"/>
  <c r="AL50" i="1"/>
  <c r="AE52" i="1"/>
  <c r="A131" i="15"/>
  <c r="K551" i="4"/>
  <c r="K548" i="4" s="1"/>
  <c r="K595" i="4"/>
  <c r="K592" i="4" s="1"/>
  <c r="I554" i="4"/>
  <c r="T595" i="4"/>
  <c r="Q590" i="4"/>
  <c r="T592" i="4" l="1"/>
  <c r="Z592" i="4" s="1"/>
  <c r="Z595" i="4"/>
  <c r="Z551" i="4"/>
  <c r="W595" i="4"/>
  <c r="AL52" i="1"/>
  <c r="AE53" i="1"/>
  <c r="AL53" i="1" s="1"/>
  <c r="C54" i="1"/>
  <c r="C55" i="1" s="1"/>
  <c r="J55" i="1" s="1"/>
  <c r="J52" i="1"/>
  <c r="M595" i="4"/>
  <c r="Q598" i="4"/>
  <c r="O551" i="4"/>
  <c r="M592" i="4"/>
  <c r="O592" i="4"/>
  <c r="G13" i="10"/>
  <c r="G14" i="10" s="1"/>
  <c r="H14" i="10" s="1"/>
  <c r="M548" i="4"/>
  <c r="O548" i="4"/>
  <c r="O595" i="4"/>
  <c r="M551" i="4"/>
  <c r="Z548" i="4" l="1"/>
  <c r="W592" i="4"/>
  <c r="H13" i="10"/>
  <c r="C56" i="1"/>
  <c r="J56" i="1" s="1"/>
  <c r="AE54" i="1"/>
  <c r="AL54" i="1" s="1"/>
  <c r="C57" i="1"/>
  <c r="J54" i="1"/>
  <c r="C58" i="1" l="1"/>
  <c r="J58" i="1" s="1"/>
  <c r="AE55" i="1"/>
  <c r="J57" i="1"/>
  <c r="T591" i="4"/>
  <c r="W591" i="4" s="1"/>
  <c r="T597" i="4"/>
  <c r="W597" i="4" s="1"/>
  <c r="K608" i="4"/>
  <c r="K611" i="4" s="1"/>
  <c r="I617" i="4"/>
  <c r="T590" i="4" l="1"/>
  <c r="W590" i="4" s="1"/>
  <c r="AL55" i="1"/>
  <c r="AE56" i="1"/>
  <c r="O608" i="4"/>
  <c r="M608" i="4"/>
  <c r="K617" i="4"/>
  <c r="O617" i="4" s="1"/>
  <c r="M611" i="4"/>
  <c r="M617" i="4" s="1"/>
  <c r="O611" i="4"/>
  <c r="L566" i="4"/>
  <c r="O566" i="4" s="1"/>
  <c r="T598" i="4" l="1"/>
  <c r="W598" i="4" s="1"/>
  <c r="Z590" i="4"/>
  <c r="AE57" i="1"/>
  <c r="AL57" i="1" s="1"/>
  <c r="AL56" i="1"/>
  <c r="M566" i="4"/>
  <c r="K672" i="4"/>
  <c r="K701" i="4" s="1"/>
  <c r="Z598" i="4" l="1"/>
  <c r="AE58" i="1"/>
  <c r="M672" i="4"/>
  <c r="N672" i="4" s="1"/>
  <c r="K702" i="4"/>
  <c r="M701" i="4"/>
  <c r="N701" i="4" s="1"/>
  <c r="AL58" i="1" l="1"/>
  <c r="AE59" i="1"/>
  <c r="AL59" i="1" s="1"/>
  <c r="M702" i="4"/>
  <c r="N702" i="4" s="1"/>
  <c r="Y723" i="4"/>
  <c r="L569" i="4"/>
  <c r="O569" i="4" s="1"/>
  <c r="AE60" i="1" l="1"/>
  <c r="AL60" i="1" s="1"/>
  <c r="M569" i="4"/>
  <c r="AE61" i="1"/>
  <c r="AL61" i="1" s="1"/>
  <c r="K561" i="4"/>
  <c r="L565" i="4"/>
  <c r="L570" i="4" s="1"/>
  <c r="G19" i="10" s="1"/>
  <c r="C59" i="1"/>
  <c r="K547" i="4"/>
  <c r="M547" i="4" s="1"/>
  <c r="K553" i="4"/>
  <c r="M553" i="4" s="1"/>
  <c r="K591" i="4"/>
  <c r="K597" i="4"/>
  <c r="M597" i="4" s="1"/>
  <c r="T547" i="4"/>
  <c r="T565" i="4"/>
  <c r="T570" i="4" s="1"/>
  <c r="F102" i="15" s="1"/>
  <c r="G102" i="15" s="1"/>
  <c r="E5" i="3"/>
  <c r="E6" i="3" s="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A11" i="23"/>
  <c r="A12" i="23" s="1"/>
  <c r="A13" i="23" s="1"/>
  <c r="A14" i="23" s="1"/>
  <c r="A15" i="23" s="1"/>
  <c r="A16" i="23" s="1"/>
  <c r="T561" i="4"/>
  <c r="W561" i="4" s="1"/>
  <c r="B116" i="18"/>
  <c r="B117" i="18" s="1"/>
  <c r="E187" i="15"/>
  <c r="F187" i="15"/>
  <c r="E203" i="15"/>
  <c r="F203" i="15"/>
  <c r="F235" i="15"/>
  <c r="C221" i="15" s="1"/>
  <c r="E218" i="15"/>
  <c r="F218" i="15"/>
  <c r="B70" i="18"/>
  <c r="B71" i="18" s="1"/>
  <c r="B72" i="18" s="1"/>
  <c r="B73" i="18" s="1"/>
  <c r="B164" i="18"/>
  <c r="B165" i="18" s="1"/>
  <c r="E274" i="15"/>
  <c r="F274" i="15"/>
  <c r="AE62" i="1" l="1"/>
  <c r="AL62" i="1" s="1"/>
  <c r="C252" i="15"/>
  <c r="C256" i="15"/>
  <c r="C176" i="15"/>
  <c r="C174" i="15"/>
  <c r="E157" i="3"/>
  <c r="E158" i="3" s="1"/>
  <c r="E159" i="3" s="1"/>
  <c r="E160" i="3" s="1"/>
  <c r="E161" i="3" s="1"/>
  <c r="E162" i="3" s="1"/>
  <c r="E163" i="3" s="1"/>
  <c r="E164" i="3" s="1"/>
  <c r="E165" i="3" s="1"/>
  <c r="E166" i="3" s="1"/>
  <c r="E167" i="3" s="1"/>
  <c r="E168" i="3" s="1"/>
  <c r="E169" i="3" s="1"/>
  <c r="E170" i="3" s="1"/>
  <c r="E171" i="3" s="1"/>
  <c r="E172" i="3" s="1"/>
  <c r="E173" i="3" s="1"/>
  <c r="E174" i="3" s="1"/>
  <c r="E175" i="3" s="1"/>
  <c r="E176" i="3" s="1"/>
  <c r="E177" i="3" s="1"/>
  <c r="E178" i="3" s="1"/>
  <c r="E179" i="3" s="1"/>
  <c r="E180" i="3" s="1"/>
  <c r="E181" i="3" s="1"/>
  <c r="E182" i="3" s="1"/>
  <c r="E183" i="3" s="1"/>
  <c r="E184" i="3" s="1"/>
  <c r="E185" i="3" s="1"/>
  <c r="E186" i="3" s="1"/>
  <c r="E187" i="3" s="1"/>
  <c r="E188" i="3" s="1"/>
  <c r="E189" i="3" s="1"/>
  <c r="E190" i="3" s="1"/>
  <c r="E191" i="3" s="1"/>
  <c r="E192" i="3" s="1"/>
  <c r="K546" i="4"/>
  <c r="M546" i="4" s="1"/>
  <c r="W565" i="4"/>
  <c r="W570" i="4" s="1"/>
  <c r="M565" i="4"/>
  <c r="M570" i="4" s="1"/>
  <c r="W547" i="4"/>
  <c r="K571" i="4"/>
  <c r="T571" i="4"/>
  <c r="T574" i="4" s="1"/>
  <c r="T580" i="4" s="1"/>
  <c r="G203" i="15"/>
  <c r="C193" i="15" s="1"/>
  <c r="G235" i="15"/>
  <c r="A173" i="15"/>
  <c r="O570" i="4"/>
  <c r="B74" i="18"/>
  <c r="B75" i="18" s="1"/>
  <c r="B76" i="18" s="1"/>
  <c r="B77" i="18" s="1"/>
  <c r="Z546" i="4"/>
  <c r="G21" i="10"/>
  <c r="H19" i="10"/>
  <c r="A189" i="15"/>
  <c r="F103" i="15"/>
  <c r="I19" i="10"/>
  <c r="I21" i="10" s="1"/>
  <c r="Z570" i="4"/>
  <c r="A237" i="15"/>
  <c r="A251" i="15"/>
  <c r="G274" i="15"/>
  <c r="M561" i="4"/>
  <c r="G187" i="15"/>
  <c r="M591" i="4"/>
  <c r="K590" i="4"/>
  <c r="J59" i="1"/>
  <c r="C60" i="1"/>
  <c r="J60" i="1" s="1"/>
  <c r="G218" i="15"/>
  <c r="C206" i="15" s="1"/>
  <c r="M571" i="4" l="1"/>
  <c r="O571" i="4"/>
  <c r="O590" i="4"/>
  <c r="B7" i="18"/>
  <c r="Y112" i="15"/>
  <c r="G103" i="15"/>
  <c r="Y92" i="15" s="1"/>
  <c r="K554" i="4"/>
  <c r="O554" i="4" s="1"/>
  <c r="A17" i="9" s="1"/>
  <c r="C190" i="15"/>
  <c r="H21" i="10"/>
  <c r="A21" i="9" s="1"/>
  <c r="F72" i="15"/>
  <c r="F73" i="15" s="1"/>
  <c r="O546" i="4"/>
  <c r="K574" i="4"/>
  <c r="M574" i="4" s="1"/>
  <c r="M580" i="4" s="1"/>
  <c r="W571" i="4"/>
  <c r="W574" i="4"/>
  <c r="Z574" i="4"/>
  <c r="Z571" i="4"/>
  <c r="B78" i="18"/>
  <c r="B79" i="18" s="1"/>
  <c r="B80" i="18" s="1"/>
  <c r="B81" i="18" s="1"/>
  <c r="B82" i="18" s="1"/>
  <c r="B83" i="18" s="1"/>
  <c r="B84" i="18" s="1"/>
  <c r="B85" i="18" s="1"/>
  <c r="B86" i="18" s="1"/>
  <c r="Z554" i="4"/>
  <c r="K598" i="4"/>
  <c r="M590" i="4"/>
  <c r="Z580" i="4"/>
  <c r="W580" i="4"/>
  <c r="C61" i="1"/>
  <c r="M554" i="4" l="1"/>
  <c r="C92" i="15"/>
  <c r="G73" i="15"/>
  <c r="C60" i="15" s="1"/>
  <c r="K580" i="4"/>
  <c r="O580" i="4" s="1"/>
  <c r="G72" i="15"/>
  <c r="A59" i="15"/>
  <c r="O574" i="4"/>
  <c r="M598" i="4"/>
  <c r="O598" i="4"/>
  <c r="E193" i="3"/>
  <c r="E194" i="3" s="1"/>
  <c r="E195" i="3" s="1"/>
  <c r="E196" i="3" s="1"/>
  <c r="E197" i="3" s="1"/>
  <c r="E198" i="3" s="1"/>
  <c r="E199" i="3" s="1"/>
  <c r="E200" i="3" s="1"/>
  <c r="E201" i="3" s="1"/>
  <c r="E202" i="3" s="1"/>
  <c r="E203" i="3" s="1"/>
  <c r="E204" i="3" s="1"/>
  <c r="E205" i="3" s="1"/>
  <c r="E206" i="3" s="1"/>
  <c r="E207" i="3" s="1"/>
  <c r="E208" i="3" s="1"/>
  <c r="E209" i="3" s="1"/>
  <c r="E210" i="3" s="1"/>
  <c r="E211" i="3" s="1"/>
  <c r="E212" i="3" s="1"/>
  <c r="E213" i="3" s="1"/>
  <c r="E214" i="3" s="1"/>
  <c r="E215" i="3" s="1"/>
  <c r="E216" i="3" s="1"/>
  <c r="E217" i="3" s="1"/>
  <c r="E218" i="3" s="1"/>
  <c r="E219" i="3" s="1"/>
  <c r="E220" i="3" s="1"/>
  <c r="E221" i="3" s="1"/>
  <c r="E222" i="3" s="1"/>
  <c r="E223" i="3" s="1"/>
  <c r="E224" i="3" s="1"/>
  <c r="E225" i="3" s="1"/>
  <c r="E226" i="3" s="1"/>
  <c r="E227" i="3" s="1"/>
  <c r="E228" i="3" s="1"/>
  <c r="E229" i="3" s="1"/>
  <c r="E230" i="3" s="1"/>
  <c r="E231" i="3" s="1"/>
  <c r="E232" i="3" s="1"/>
  <c r="E233" i="3" s="1"/>
  <c r="E234" i="3" s="1"/>
  <c r="E235" i="3" s="1"/>
  <c r="E236" i="3" s="1"/>
  <c r="E237" i="3" s="1"/>
  <c r="E238" i="3" s="1"/>
  <c r="E239" i="3" s="1"/>
  <c r="E240" i="3" s="1"/>
  <c r="E241" i="3" s="1"/>
  <c r="E242" i="3" s="1"/>
  <c r="E243" i="3" s="1"/>
  <c r="E244" i="3" s="1"/>
  <c r="E245" i="3" s="1"/>
  <c r="E246" i="3" s="1"/>
  <c r="E247" i="3" s="1"/>
  <c r="E248" i="3" s="1"/>
  <c r="E249" i="3" s="1"/>
  <c r="E250" i="3" s="1"/>
  <c r="E251" i="3" s="1"/>
  <c r="E252" i="3" s="1"/>
  <c r="E253" i="3" s="1"/>
  <c r="E254" i="3" s="1"/>
  <c r="E255" i="3" s="1"/>
  <c r="E256" i="3" s="1"/>
  <c r="E257" i="3" s="1"/>
  <c r="E258" i="3" s="1"/>
  <c r="E259" i="3" s="1"/>
  <c r="E260" i="3" s="1"/>
  <c r="E261" i="3" s="1"/>
  <c r="E262" i="3" s="1"/>
  <c r="E263" i="3" s="1"/>
  <c r="E264" i="3" s="1"/>
  <c r="E265" i="3" s="1"/>
  <c r="E266" i="3" s="1"/>
  <c r="E267" i="3" s="1"/>
  <c r="E268" i="3" s="1"/>
  <c r="E269" i="3" s="1"/>
  <c r="E270" i="3" s="1"/>
  <c r="E271" i="3" s="1"/>
  <c r="E272" i="3" s="1"/>
  <c r="E273" i="3" s="1"/>
  <c r="E274" i="3" s="1"/>
  <c r="E275" i="3" s="1"/>
  <c r="E276" i="3" s="1"/>
  <c r="E277" i="3" s="1"/>
  <c r="E278" i="3" s="1"/>
  <c r="E279" i="3" s="1"/>
  <c r="E280" i="3" s="1"/>
  <c r="E281" i="3" s="1"/>
  <c r="E282" i="3" s="1"/>
  <c r="E283" i="3" s="1"/>
  <c r="E284" i="3" s="1"/>
  <c r="E285" i="3" s="1"/>
  <c r="E286" i="3" s="1"/>
  <c r="E287" i="3" s="1"/>
  <c r="E288" i="3" s="1"/>
  <c r="E289" i="3" s="1"/>
  <c r="E290" i="3" s="1"/>
  <c r="E291" i="3" s="1"/>
  <c r="E292" i="3" s="1"/>
  <c r="E293" i="3" s="1"/>
  <c r="E294" i="3" s="1"/>
  <c r="E295" i="3" s="1"/>
  <c r="E296" i="3" s="1"/>
  <c r="E297" i="3" s="1"/>
  <c r="E298" i="3" s="1"/>
  <c r="E299" i="3" s="1"/>
  <c r="E300" i="3" s="1"/>
  <c r="E301" i="3" s="1"/>
  <c r="E302" i="3" s="1"/>
  <c r="E303" i="3" s="1"/>
  <c r="E304" i="3" s="1"/>
  <c r="E305" i="3" s="1"/>
  <c r="E306" i="3" s="1"/>
  <c r="E307" i="3" s="1"/>
  <c r="E308" i="3" s="1"/>
  <c r="E309" i="3" s="1"/>
  <c r="E310" i="3" s="1"/>
  <c r="E311" i="3" s="1"/>
  <c r="E312" i="3" s="1"/>
  <c r="E313" i="3" s="1"/>
  <c r="E314" i="3" s="1"/>
  <c r="E315" i="3" s="1"/>
  <c r="E316" i="3" s="1"/>
  <c r="E317" i="3" s="1"/>
  <c r="E318" i="3" s="1"/>
  <c r="E319" i="3" s="1"/>
  <c r="E320" i="3" s="1"/>
  <c r="E321" i="3" s="1"/>
  <c r="E322" i="3" s="1"/>
  <c r="E323" i="3" s="1"/>
  <c r="E324" i="3" s="1"/>
  <c r="E325" i="3" s="1"/>
  <c r="E326" i="3" s="1"/>
  <c r="E327" i="3" s="1"/>
  <c r="E328" i="3" s="1"/>
  <c r="E329" i="3" s="1"/>
  <c r="E330" i="3" s="1"/>
  <c r="E331" i="3" s="1"/>
  <c r="E332" i="3" s="1"/>
  <c r="E333" i="3" s="1"/>
  <c r="E334" i="3" s="1"/>
  <c r="E335" i="3" s="1"/>
  <c r="E336" i="3" s="1"/>
  <c r="E337" i="3" s="1"/>
  <c r="E338" i="3" s="1"/>
  <c r="E339" i="3" s="1"/>
  <c r="E340" i="3" s="1"/>
  <c r="E341" i="3" s="1"/>
  <c r="E342" i="3" s="1"/>
  <c r="E343" i="3" s="1"/>
  <c r="E344" i="3" s="1"/>
  <c r="E345" i="3" s="1"/>
  <c r="E346" i="3" s="1"/>
  <c r="E347" i="3" s="1"/>
  <c r="E348" i="3" s="1"/>
  <c r="E349" i="3" s="1"/>
  <c r="E350" i="3" s="1"/>
  <c r="E351" i="3" s="1"/>
  <c r="E352" i="3" s="1"/>
  <c r="E353" i="3" s="1"/>
  <c r="E354" i="3" s="1"/>
  <c r="E355" i="3" s="1"/>
  <c r="E356" i="3" s="1"/>
  <c r="E357" i="3" s="1"/>
  <c r="E358" i="3" s="1"/>
  <c r="E359" i="3" s="1"/>
  <c r="E360" i="3" s="1"/>
  <c r="E361" i="3" s="1"/>
  <c r="E362" i="3" s="1"/>
  <c r="E363" i="3" s="1"/>
  <c r="E364" i="3" s="1"/>
  <c r="E365" i="3" s="1"/>
  <c r="E366" i="3" s="1"/>
  <c r="E367" i="3" s="1"/>
  <c r="E368" i="3" s="1"/>
  <c r="E369" i="3" s="1"/>
  <c r="E370" i="3" s="1"/>
  <c r="E371" i="3" s="1"/>
  <c r="E372" i="3" s="1"/>
  <c r="E373" i="3" s="1"/>
  <c r="E374" i="3" s="1"/>
  <c r="E375" i="3" s="1"/>
  <c r="E376" i="3" s="1"/>
  <c r="E377" i="3" s="1"/>
  <c r="E378" i="3" s="1"/>
  <c r="E379" i="3" s="1"/>
  <c r="E380" i="3" s="1"/>
  <c r="E381" i="3" s="1"/>
  <c r="E382" i="3" s="1"/>
  <c r="E383" i="3" s="1"/>
  <c r="E384" i="3" s="1"/>
  <c r="E385" i="3" s="1"/>
  <c r="E386" i="3" s="1"/>
  <c r="E387" i="3" s="1"/>
  <c r="E388" i="3" s="1"/>
  <c r="E389" i="3" s="1"/>
  <c r="E390" i="3" s="1"/>
  <c r="E391" i="3" s="1"/>
  <c r="E392" i="3" s="1"/>
  <c r="E393" i="3" s="1"/>
  <c r="E394" i="3" s="1"/>
  <c r="E395" i="3" s="1"/>
  <c r="E396" i="3" s="1"/>
  <c r="E397" i="3" s="1"/>
  <c r="E398" i="3" s="1"/>
  <c r="E399" i="3" s="1"/>
  <c r="E400" i="3" s="1"/>
  <c r="E401" i="3" s="1"/>
  <c r="E402" i="3" s="1"/>
  <c r="E403" i="3" s="1"/>
  <c r="E404" i="3" s="1"/>
  <c r="E405" i="3" s="1"/>
  <c r="E406" i="3" s="1"/>
  <c r="E407" i="3" s="1"/>
  <c r="E408" i="3" s="1"/>
  <c r="E409" i="3" s="1"/>
  <c r="E410" i="3" s="1"/>
  <c r="E411" i="3" s="1"/>
  <c r="E412" i="3" s="1"/>
  <c r="J61" i="1"/>
  <c r="C62" i="1"/>
  <c r="J62" i="1" s="1"/>
  <c r="B138" i="20" l="1"/>
  <c r="I23" i="24" l="1"/>
  <c r="T551" i="4"/>
  <c r="T548" i="4" s="1"/>
  <c r="W548" i="4" l="1"/>
  <c r="I13" i="10"/>
  <c r="I14" i="10" s="1"/>
  <c r="T546" i="4"/>
  <c r="W551" i="4"/>
  <c r="W546" i="4" l="1"/>
  <c r="T554" i="4"/>
  <c r="W554" i="4" s="1"/>
</calcChain>
</file>

<file path=xl/comments1.xml><?xml version="1.0" encoding="utf-8"?>
<comments xmlns="http://schemas.openxmlformats.org/spreadsheetml/2006/main">
  <authors>
    <author>HARIS</author>
  </authors>
  <commentList>
    <comment ref="S22" authorId="0" shapeId="0">
      <text>
        <r>
          <rPr>
            <b/>
            <sz val="8"/>
            <color rgb="FF000000"/>
            <rFont val="Tahoma"/>
            <family val="2"/>
          </rPr>
          <t>HARIS:</t>
        </r>
        <r>
          <rPr>
            <sz val="8"/>
            <color rgb="FF000000"/>
            <rFont val="Tahoma"/>
            <family val="2"/>
          </rPr>
          <t xml:space="preserve">
</t>
        </r>
        <r>
          <rPr>
            <sz val="12"/>
            <color rgb="FF000000"/>
            <rFont val="Tahoma"/>
            <family val="2"/>
          </rPr>
          <t>Diisi akumulasi dari jumlah pendapatan sesuai akun neraca percobaan per 30 Juni TAYL</t>
        </r>
      </text>
    </comment>
    <comment ref="V22" authorId="0" shapeId="0">
      <text>
        <r>
          <rPr>
            <b/>
            <sz val="8"/>
            <color rgb="FF000000"/>
            <rFont val="Tahoma"/>
            <family val="2"/>
          </rPr>
          <t>HARIS:</t>
        </r>
        <r>
          <rPr>
            <sz val="8"/>
            <color rgb="FF000000"/>
            <rFont val="Tahoma"/>
            <family val="2"/>
          </rPr>
          <t xml:space="preserve">
Diisi akumulasi dari jumlah pengembalian pendapatan sesuai akun neraca percobaan per 30 Juni TAYL
</t>
        </r>
      </text>
    </comment>
    <comment ref="S23" authorId="0" shapeId="0">
      <text>
        <r>
          <rPr>
            <b/>
            <sz val="8"/>
            <color rgb="FF000000"/>
            <rFont val="Tahoma"/>
            <family val="2"/>
          </rPr>
          <t>HARIS:</t>
        </r>
        <r>
          <rPr>
            <sz val="8"/>
            <color rgb="FF000000"/>
            <rFont val="Tahoma"/>
            <family val="2"/>
          </rPr>
          <t xml:space="preserve">
</t>
        </r>
        <r>
          <rPr>
            <sz val="12"/>
            <color rgb="FF000000"/>
            <rFont val="Tahoma"/>
            <family val="2"/>
          </rPr>
          <t>Diisi akumulasi dari jumlah pendapatan sesuai akun neraca percobaan per 30 Juni TAYL</t>
        </r>
      </text>
    </comment>
    <comment ref="V23" authorId="0" shapeId="0">
      <text>
        <r>
          <rPr>
            <b/>
            <sz val="8"/>
            <color rgb="FF000000"/>
            <rFont val="Tahoma"/>
            <family val="2"/>
          </rPr>
          <t>HARIS:</t>
        </r>
        <r>
          <rPr>
            <sz val="8"/>
            <color rgb="FF000000"/>
            <rFont val="Tahoma"/>
            <family val="2"/>
          </rPr>
          <t xml:space="preserve">
Diisi akumulasi dari jumlah pengembalian pendapatan sesuai akun neraca percobaan per 30 Juni TAYL</t>
        </r>
      </text>
    </comment>
    <comment ref="S24" authorId="0" shapeId="0">
      <text>
        <r>
          <rPr>
            <b/>
            <sz val="8"/>
            <color rgb="FF000000"/>
            <rFont val="Tahoma"/>
            <family val="2"/>
          </rPr>
          <t>HARIS:</t>
        </r>
        <r>
          <rPr>
            <sz val="8"/>
            <color rgb="FF000000"/>
            <rFont val="Tahoma"/>
            <family val="2"/>
          </rPr>
          <t xml:space="preserve">
</t>
        </r>
        <r>
          <rPr>
            <sz val="12"/>
            <color rgb="FF000000"/>
            <rFont val="Tahoma"/>
            <family val="2"/>
          </rPr>
          <t>Diisi akumulasi dari jumlah pendapatan sesuai akun neraca percobaan per 30 Juni TAYL</t>
        </r>
      </text>
    </comment>
    <comment ref="V24" authorId="0" shapeId="0">
      <text>
        <r>
          <rPr>
            <b/>
            <sz val="8"/>
            <color rgb="FF000000"/>
            <rFont val="Tahoma"/>
            <family val="2"/>
          </rPr>
          <t>HARIS:</t>
        </r>
        <r>
          <rPr>
            <sz val="8"/>
            <color rgb="FF000000"/>
            <rFont val="Tahoma"/>
            <family val="2"/>
          </rPr>
          <t xml:space="preserve">
Diisi akumulasi dari jumlah pengembalian pendapatan sesuai akun neraca percobaan per 30 Juni TAYL
</t>
        </r>
      </text>
    </comment>
    <comment ref="S25" authorId="0" shapeId="0">
      <text>
        <r>
          <rPr>
            <b/>
            <sz val="8"/>
            <color rgb="FF000000"/>
            <rFont val="Tahoma"/>
            <family val="2"/>
          </rPr>
          <t>HARIS:</t>
        </r>
        <r>
          <rPr>
            <sz val="8"/>
            <color rgb="FF000000"/>
            <rFont val="Tahoma"/>
            <family val="2"/>
          </rPr>
          <t xml:space="preserve">
</t>
        </r>
        <r>
          <rPr>
            <sz val="12"/>
            <color rgb="FF000000"/>
            <rFont val="Tahoma"/>
            <family val="2"/>
          </rPr>
          <t>Diisi akumulasi dari jumlah pendapatan sesuai akun neraca percobaan per 30 Juni TAYL</t>
        </r>
      </text>
    </comment>
    <comment ref="V25" authorId="0" shapeId="0">
      <text>
        <r>
          <rPr>
            <b/>
            <sz val="8"/>
            <color rgb="FF000000"/>
            <rFont val="Tahoma"/>
            <family val="2"/>
          </rPr>
          <t>HARIS:</t>
        </r>
        <r>
          <rPr>
            <sz val="8"/>
            <color rgb="FF000000"/>
            <rFont val="Tahoma"/>
            <family val="2"/>
          </rPr>
          <t xml:space="preserve">
Diisi akumulasi dari jumlah pengembalian pendapatan sesuai akun neraca percobaan per 30 Juni TAYL</t>
        </r>
      </text>
    </comment>
  </commentList>
</comments>
</file>

<file path=xl/comments2.xml><?xml version="1.0" encoding="utf-8"?>
<comments xmlns="http://schemas.openxmlformats.org/spreadsheetml/2006/main">
  <authors>
    <author>Microsoft Office</author>
  </authors>
  <commentList>
    <comment ref="I686" authorId="0" shapeId="0">
      <text>
        <r>
          <rPr>
            <b/>
            <sz val="8"/>
            <color indexed="81"/>
            <rFont val="Tahoma"/>
            <family val="2"/>
          </rPr>
          <t>Microsoft Office:</t>
        </r>
        <r>
          <rPr>
            <sz val="8"/>
            <color indexed="81"/>
            <rFont val="Tahoma"/>
            <family val="2"/>
          </rPr>
          <t xml:space="preserve">
ISIKAN DENGAN NILAI MINUS</t>
        </r>
      </text>
    </comment>
    <comment ref="K686" authorId="0" shapeId="0">
      <text>
        <r>
          <rPr>
            <b/>
            <sz val="8"/>
            <color indexed="81"/>
            <rFont val="Tahoma"/>
            <family val="2"/>
          </rPr>
          <t>Microsoft Office:</t>
        </r>
        <r>
          <rPr>
            <sz val="8"/>
            <color indexed="81"/>
            <rFont val="Tahoma"/>
            <family val="2"/>
          </rPr>
          <t xml:space="preserve">
ISIKAN DENGAN NILAI MINUS</t>
        </r>
      </text>
    </comment>
  </commentList>
</comments>
</file>

<file path=xl/comments3.xml><?xml version="1.0" encoding="utf-8"?>
<comments xmlns="http://schemas.openxmlformats.org/spreadsheetml/2006/main">
  <authors>
    <author>AXIOO</author>
  </authors>
  <commentList>
    <comment ref="D10" authorId="0" shapeId="0">
      <text>
        <r>
          <rPr>
            <b/>
            <sz val="9"/>
            <color indexed="81"/>
            <rFont val="Tahoma"/>
            <family val="2"/>
          </rPr>
          <t>VERA:</t>
        </r>
        <r>
          <rPr>
            <sz val="9"/>
            <color indexed="81"/>
            <rFont val="Tahoma"/>
            <family val="2"/>
          </rPr>
          <t xml:space="preserve">
Sesuaikan halaman apabila berbeda</t>
        </r>
      </text>
    </comment>
  </commentList>
</comments>
</file>

<file path=xl/comments4.xml><?xml version="1.0" encoding="utf-8"?>
<comments xmlns="http://schemas.openxmlformats.org/spreadsheetml/2006/main">
  <authors>
    <author>AXIOO</author>
  </authors>
  <commentList>
    <comment ref="C10" authorId="0" shapeId="0">
      <text>
        <r>
          <rPr>
            <b/>
            <sz val="9"/>
            <color indexed="81"/>
            <rFont val="Tahoma"/>
            <family val="2"/>
          </rPr>
          <t>VERA:</t>
        </r>
        <r>
          <rPr>
            <sz val="9"/>
            <color indexed="81"/>
            <rFont val="Tahoma"/>
            <family val="2"/>
          </rPr>
          <t xml:space="preserve">
Isikan titik-titik disamping sesuai dengan keadaan yang sesungguhnya dan akhiri dengan tanda petik dua.</t>
        </r>
      </text>
    </comment>
    <comment ref="C19" authorId="0" shapeId="0">
      <text>
        <r>
          <rPr>
            <b/>
            <sz val="9"/>
            <color indexed="81"/>
            <rFont val="Tahoma"/>
            <family val="2"/>
          </rPr>
          <t>VERA:</t>
        </r>
        <r>
          <rPr>
            <sz val="9"/>
            <color indexed="81"/>
            <rFont val="Tahoma"/>
            <family val="2"/>
          </rPr>
          <t xml:space="preserve">
Isikan tugas dan fungsi, serta peran yang diharapkan, akhiri dengan tanda petik dua.</t>
        </r>
      </text>
    </comment>
    <comment ref="C23" authorId="0" shapeId="0">
      <text>
        <r>
          <rPr>
            <b/>
            <sz val="9"/>
            <color indexed="81"/>
            <rFont val="Tahoma"/>
            <family val="2"/>
          </rPr>
          <t>VERA:</t>
        </r>
        <r>
          <rPr>
            <sz val="9"/>
            <color indexed="81"/>
            <rFont val="Tahoma"/>
            <family val="2"/>
          </rPr>
          <t xml:space="preserve">
Isikan Visi kantor</t>
        </r>
      </text>
    </comment>
    <comment ref="D27" authorId="0" shapeId="0">
      <text>
        <r>
          <rPr>
            <b/>
            <sz val="9"/>
            <color indexed="81"/>
            <rFont val="Tahoma"/>
            <family val="2"/>
          </rPr>
          <t>VERA:</t>
        </r>
        <r>
          <rPr>
            <sz val="9"/>
            <color indexed="81"/>
            <rFont val="Tahoma"/>
            <family val="2"/>
          </rPr>
          <t xml:space="preserve">
Isikan Misi kantor</t>
        </r>
      </text>
    </comment>
  </commentList>
</comments>
</file>

<file path=xl/comments5.xml><?xml version="1.0" encoding="utf-8"?>
<comments xmlns="http://schemas.openxmlformats.org/spreadsheetml/2006/main">
  <authors>
    <author>AXIOO</author>
  </authors>
  <commentList>
    <comment ref="C24" authorId="0" shapeId="0">
      <text>
        <r>
          <rPr>
            <b/>
            <sz val="9"/>
            <color indexed="81"/>
            <rFont val="Tahoma"/>
            <family val="2"/>
          </rPr>
          <t>VERA:</t>
        </r>
        <r>
          <rPr>
            <sz val="9"/>
            <color indexed="81"/>
            <rFont val="Tahoma"/>
            <family val="2"/>
          </rPr>
          <t xml:space="preserve">
Isikan jenis-jenis pendapatan pada kolom yang telah disediakan.</t>
        </r>
      </text>
    </comment>
    <comment ref="J26" authorId="0" shapeId="0">
      <text>
        <r>
          <rPr>
            <b/>
            <sz val="9"/>
            <color indexed="81"/>
            <rFont val="Tahoma"/>
            <family val="2"/>
          </rPr>
          <t>VERA:</t>
        </r>
        <r>
          <rPr>
            <sz val="9"/>
            <color indexed="81"/>
            <rFont val="Tahoma"/>
            <family val="2"/>
          </rPr>
          <t xml:space="preserve">
Isikan jenis pendapatan satker</t>
        </r>
      </text>
    </comment>
    <comment ref="E33" authorId="0" shapeId="0">
      <text>
        <r>
          <rPr>
            <b/>
            <sz val="9"/>
            <color indexed="81"/>
            <rFont val="Tahoma"/>
            <family val="2"/>
          </rPr>
          <t>VERA:</t>
        </r>
        <r>
          <rPr>
            <sz val="9"/>
            <color indexed="81"/>
            <rFont val="Tahoma"/>
            <family val="2"/>
          </rPr>
          <t xml:space="preserve">
Isikan Anggaran/ Estimasi PNBP akun 4 digit (jika ada)</t>
        </r>
      </text>
    </comment>
    <comment ref="L41" authorId="0" shapeId="0">
      <text>
        <r>
          <rPr>
            <b/>
            <sz val="9"/>
            <color indexed="81"/>
            <rFont val="Tahoma"/>
            <family val="2"/>
          </rPr>
          <t>VERA:</t>
        </r>
        <r>
          <rPr>
            <sz val="9"/>
            <color indexed="81"/>
            <rFont val="Tahoma"/>
            <family val="2"/>
          </rPr>
          <t xml:space="preserve">
Biarkan kotak ini apa adanya</t>
        </r>
      </text>
    </comment>
    <comment ref="C42" authorId="0" shapeId="0">
      <text>
        <r>
          <rPr>
            <b/>
            <sz val="9"/>
            <color indexed="81"/>
            <rFont val="Tahoma"/>
            <family val="2"/>
          </rPr>
          <t>VERA:</t>
        </r>
        <r>
          <rPr>
            <sz val="9"/>
            <color indexed="81"/>
            <rFont val="Tahoma"/>
            <family val="2"/>
          </rPr>
          <t xml:space="preserve">
</t>
        </r>
        <r>
          <rPr>
            <sz val="10"/>
            <color indexed="81"/>
            <rFont val="Tahoma"/>
            <family val="2"/>
          </rPr>
          <t>Isikan penjelasan atas kenaikan/penurunan realisasi pada kotak yang telah disediakan disamping ini.</t>
        </r>
      </text>
    </comment>
    <comment ref="L43" authorId="0" shapeId="0">
      <text>
        <r>
          <rPr>
            <b/>
            <sz val="9"/>
            <color indexed="81"/>
            <rFont val="Tahoma"/>
            <family val="2"/>
          </rPr>
          <t>VERA:</t>
        </r>
        <r>
          <rPr>
            <sz val="9"/>
            <color indexed="81"/>
            <rFont val="Tahoma"/>
            <family val="2"/>
          </rPr>
          <t xml:space="preserve">
Isikan penjelasan naik/turun realisasi di kotak ini.</t>
        </r>
      </text>
    </comment>
    <comment ref="L88" authorId="0" shapeId="0">
      <text>
        <r>
          <rPr>
            <b/>
            <sz val="9"/>
            <color indexed="81"/>
            <rFont val="Tahoma"/>
            <family val="2"/>
          </rPr>
          <t>VERA:</t>
        </r>
        <r>
          <rPr>
            <sz val="9"/>
            <color indexed="81"/>
            <rFont val="Tahoma"/>
            <family val="2"/>
          </rPr>
          <t xml:space="preserve">
Biarkan kotak ini apa adanya</t>
        </r>
      </text>
    </comment>
    <comment ref="C92" authorId="0" shapeId="0">
      <text>
        <r>
          <rPr>
            <b/>
            <sz val="9"/>
            <color indexed="81"/>
            <rFont val="Tahoma"/>
            <family val="2"/>
          </rPr>
          <t>VERA:</t>
        </r>
        <r>
          <rPr>
            <sz val="9"/>
            <color indexed="81"/>
            <rFont val="Tahoma"/>
            <family val="2"/>
          </rPr>
          <t xml:space="preserve">
Isikan penjelasan atas kenaikan/penurunan realisasi pada kotak yang telah disediakan disamping ini.</t>
        </r>
      </text>
    </comment>
    <comment ref="L92" authorId="0" shapeId="0">
      <text>
        <r>
          <rPr>
            <b/>
            <sz val="9"/>
            <color indexed="81"/>
            <rFont val="Tahoma"/>
            <family val="2"/>
          </rPr>
          <t>VERA:
Isikan penjelasan naik/turun realisasi di kotak ini.</t>
        </r>
      </text>
    </comment>
    <comment ref="L108" authorId="0" shapeId="0">
      <text>
        <r>
          <rPr>
            <b/>
            <sz val="9"/>
            <color indexed="81"/>
            <rFont val="Tahoma"/>
            <family val="2"/>
          </rPr>
          <t>VERA:</t>
        </r>
        <r>
          <rPr>
            <sz val="9"/>
            <color indexed="81"/>
            <rFont val="Tahoma"/>
            <family val="2"/>
          </rPr>
          <t xml:space="preserve">
Biarkan kotak ini apa adanya</t>
        </r>
      </text>
    </comment>
    <comment ref="C112" authorId="0" shapeId="0">
      <text>
        <r>
          <rPr>
            <b/>
            <sz val="9"/>
            <color indexed="81"/>
            <rFont val="Tahoma"/>
            <family val="2"/>
          </rPr>
          <t>VERA:</t>
        </r>
        <r>
          <rPr>
            <sz val="9"/>
            <color indexed="81"/>
            <rFont val="Tahoma"/>
            <family val="2"/>
          </rPr>
          <t xml:space="preserve">
Isikan penjelasan naik/turun realisasi di kotak yang telah disediakan di samping ini.</t>
        </r>
      </text>
    </comment>
    <comment ref="L112" authorId="0" shapeId="0">
      <text>
        <r>
          <rPr>
            <b/>
            <sz val="9"/>
            <color indexed="81"/>
            <rFont val="Tahoma"/>
            <family val="2"/>
          </rPr>
          <t>VERA:</t>
        </r>
        <r>
          <rPr>
            <sz val="9"/>
            <color indexed="81"/>
            <rFont val="Tahoma"/>
            <family val="2"/>
          </rPr>
          <t xml:space="preserve">
Isikan penjelasan naik/turun realisasi di kotak ini.</t>
        </r>
      </text>
    </comment>
    <comment ref="L129" authorId="0" shapeId="0">
      <text>
        <r>
          <rPr>
            <b/>
            <sz val="9"/>
            <color indexed="81"/>
            <rFont val="Tahoma"/>
            <family val="2"/>
          </rPr>
          <t>VERA:</t>
        </r>
        <r>
          <rPr>
            <sz val="9"/>
            <color indexed="81"/>
            <rFont val="Tahoma"/>
            <family val="2"/>
          </rPr>
          <t xml:space="preserve">
Biarkan kotak ini apa adanya</t>
        </r>
      </text>
    </comment>
    <comment ref="L132" authorId="0" shapeId="0">
      <text>
        <r>
          <rPr>
            <b/>
            <sz val="9"/>
            <color indexed="81"/>
            <rFont val="Tahoma"/>
            <family val="2"/>
          </rPr>
          <t>VERA:</t>
        </r>
        <r>
          <rPr>
            <sz val="9"/>
            <color indexed="81"/>
            <rFont val="Tahoma"/>
            <family val="2"/>
          </rPr>
          <t xml:space="preserve">
Isikan penjelasan naik/turun realisasi di kotak ini.</t>
        </r>
      </text>
    </comment>
    <comment ref="C134" authorId="0" shapeId="0">
      <text>
        <r>
          <rPr>
            <b/>
            <sz val="9"/>
            <color indexed="81"/>
            <rFont val="Tahoma"/>
            <family val="2"/>
          </rPr>
          <t>VERA:</t>
        </r>
        <r>
          <rPr>
            <sz val="9"/>
            <color indexed="81"/>
            <rFont val="Tahoma"/>
            <family val="2"/>
          </rPr>
          <t xml:space="preserve">
Isikan penjelasan naik/turun realisasi di kotak yang telah disediakan di samping ini.</t>
        </r>
      </text>
    </comment>
    <comment ref="L155" authorId="0" shapeId="0">
      <text>
        <r>
          <rPr>
            <b/>
            <sz val="9"/>
            <color indexed="81"/>
            <rFont val="Tahoma"/>
            <family val="2"/>
          </rPr>
          <t>VERA:</t>
        </r>
        <r>
          <rPr>
            <sz val="9"/>
            <color indexed="81"/>
            <rFont val="Tahoma"/>
            <family val="2"/>
          </rPr>
          <t xml:space="preserve">
Biarkan kotak ini apa adanya</t>
        </r>
      </text>
    </comment>
    <comment ref="C158" authorId="0" shapeId="0">
      <text>
        <r>
          <rPr>
            <b/>
            <sz val="9"/>
            <color indexed="81"/>
            <rFont val="Tahoma"/>
            <family val="2"/>
          </rPr>
          <t>VERA:</t>
        </r>
        <r>
          <rPr>
            <sz val="9"/>
            <color indexed="81"/>
            <rFont val="Tahoma"/>
            <family val="2"/>
          </rPr>
          <t xml:space="preserve">
Isikan penjelasan naik/turun realisasi di kotak yang telah disediakan di samping ini.</t>
        </r>
      </text>
    </comment>
    <comment ref="L159" authorId="0" shapeId="0">
      <text>
        <r>
          <rPr>
            <b/>
            <sz val="9"/>
            <color indexed="81"/>
            <rFont val="Tahoma"/>
            <family val="2"/>
          </rPr>
          <t>VERA:</t>
        </r>
        <r>
          <rPr>
            <sz val="9"/>
            <color indexed="81"/>
            <rFont val="Tahoma"/>
            <family val="2"/>
          </rPr>
          <t xml:space="preserve">
Isikan penjelasan naik/turun realisasi di kotak ini.</t>
        </r>
      </text>
    </comment>
    <comment ref="L171" authorId="0" shapeId="0">
      <text>
        <r>
          <rPr>
            <b/>
            <sz val="9"/>
            <color indexed="81"/>
            <rFont val="Tahoma"/>
            <family val="2"/>
          </rPr>
          <t>VERA:</t>
        </r>
        <r>
          <rPr>
            <sz val="9"/>
            <color indexed="81"/>
            <rFont val="Tahoma"/>
            <family val="2"/>
          </rPr>
          <t xml:space="preserve">
Biarkan kotak ini apa adanya</t>
        </r>
      </text>
    </comment>
    <comment ref="E182" authorId="0" shapeId="0">
      <text>
        <r>
          <rPr>
            <b/>
            <sz val="9"/>
            <color indexed="81"/>
            <rFont val="Tahoma"/>
            <family val="2"/>
          </rPr>
          <t>VERA:</t>
        </r>
        <r>
          <rPr>
            <sz val="9"/>
            <color indexed="81"/>
            <rFont val="Tahoma"/>
            <family val="2"/>
          </rPr>
          <t xml:space="preserve">
Isikan rincian belanja modal tanah (apabila ada)</t>
        </r>
      </text>
    </comment>
    <comment ref="F182" authorId="0" shapeId="0">
      <text>
        <r>
          <rPr>
            <b/>
            <sz val="9"/>
            <color indexed="81"/>
            <rFont val="Tahoma"/>
            <family val="2"/>
          </rPr>
          <t>VERA:</t>
        </r>
        <r>
          <rPr>
            <sz val="9"/>
            <color indexed="81"/>
            <rFont val="Tahoma"/>
            <family val="2"/>
          </rPr>
          <t xml:space="preserve">
Isikan rincian belanja modal tanah (apabila ada)</t>
        </r>
      </text>
    </comment>
    <comment ref="L187" authorId="0" shapeId="0">
      <text>
        <r>
          <rPr>
            <b/>
            <sz val="9"/>
            <color indexed="81"/>
            <rFont val="Tahoma"/>
            <family val="2"/>
          </rPr>
          <t>VERA:</t>
        </r>
        <r>
          <rPr>
            <sz val="9"/>
            <color indexed="81"/>
            <rFont val="Tahoma"/>
            <family val="2"/>
          </rPr>
          <t xml:space="preserve">
Biarkan kotak ini apa adanya</t>
        </r>
      </text>
    </comment>
    <comment ref="E200" authorId="0" shapeId="0">
      <text>
        <r>
          <rPr>
            <b/>
            <sz val="9"/>
            <color indexed="81"/>
            <rFont val="Tahoma"/>
            <family val="2"/>
          </rPr>
          <t>VERA:</t>
        </r>
        <r>
          <rPr>
            <sz val="9"/>
            <color indexed="81"/>
            <rFont val="Tahoma"/>
            <family val="2"/>
          </rPr>
          <t xml:space="preserve">
Isikan rincian belanja modal peralatan dan mesin</t>
        </r>
      </text>
    </comment>
    <comment ref="F200" authorId="0" shapeId="0">
      <text>
        <r>
          <rPr>
            <b/>
            <sz val="9"/>
            <color indexed="81"/>
            <rFont val="Tahoma"/>
            <family val="2"/>
          </rPr>
          <t>VERA:</t>
        </r>
        <r>
          <rPr>
            <sz val="9"/>
            <color indexed="81"/>
            <rFont val="Tahoma"/>
            <family val="2"/>
          </rPr>
          <t xml:space="preserve">
Isikan rincian belanja modal peralatan dan mesin</t>
        </r>
      </text>
    </comment>
    <comment ref="L204" authorId="0" shapeId="0">
      <text>
        <r>
          <rPr>
            <b/>
            <sz val="9"/>
            <color indexed="81"/>
            <rFont val="Tahoma"/>
            <family val="2"/>
          </rPr>
          <t>VERA:</t>
        </r>
        <r>
          <rPr>
            <sz val="9"/>
            <color indexed="81"/>
            <rFont val="Tahoma"/>
            <family val="2"/>
          </rPr>
          <t xml:space="preserve">
Biarkan kotak ini apa adanya</t>
        </r>
      </text>
    </comment>
    <comment ref="E215" authorId="0" shapeId="0">
      <text>
        <r>
          <rPr>
            <b/>
            <sz val="9"/>
            <color indexed="81"/>
            <rFont val="Tahoma"/>
            <family val="2"/>
          </rPr>
          <t>VERA:</t>
        </r>
        <r>
          <rPr>
            <sz val="9"/>
            <color indexed="81"/>
            <rFont val="Tahoma"/>
            <family val="2"/>
          </rPr>
          <t xml:space="preserve">
Isikan rincian belanja modal gedung dan bangunan</t>
        </r>
      </text>
    </comment>
    <comment ref="F215" authorId="0" shapeId="0">
      <text>
        <r>
          <rPr>
            <b/>
            <sz val="9"/>
            <color indexed="81"/>
            <rFont val="Tahoma"/>
            <family val="2"/>
          </rPr>
          <t>VERA:</t>
        </r>
        <r>
          <rPr>
            <sz val="9"/>
            <color indexed="81"/>
            <rFont val="Tahoma"/>
            <family val="2"/>
          </rPr>
          <t xml:space="preserve">
Isikan rincian belanja modal gedung dan bangunan</t>
        </r>
      </text>
    </comment>
    <comment ref="L219" authorId="0" shapeId="0">
      <text>
        <r>
          <rPr>
            <b/>
            <sz val="9"/>
            <color indexed="81"/>
            <rFont val="Tahoma"/>
            <family val="2"/>
          </rPr>
          <t>VERA:</t>
        </r>
        <r>
          <rPr>
            <sz val="9"/>
            <color indexed="81"/>
            <rFont val="Tahoma"/>
            <family val="2"/>
          </rPr>
          <t xml:space="preserve">
Biarkan kotak ini apa adanya</t>
        </r>
      </text>
    </comment>
    <comment ref="E230" authorId="0" shapeId="0">
      <text>
        <r>
          <rPr>
            <b/>
            <sz val="9"/>
            <color indexed="81"/>
            <rFont val="Tahoma"/>
            <family val="2"/>
          </rPr>
          <t>VERA:</t>
        </r>
        <r>
          <rPr>
            <sz val="9"/>
            <color indexed="81"/>
            <rFont val="Tahoma"/>
            <family val="2"/>
          </rPr>
          <t xml:space="preserve">
Isikan rinciannya</t>
        </r>
      </text>
    </comment>
    <comment ref="F230" authorId="0" shapeId="0">
      <text>
        <r>
          <rPr>
            <b/>
            <sz val="9"/>
            <color indexed="81"/>
            <rFont val="Tahoma"/>
            <family val="2"/>
          </rPr>
          <t>VERA:</t>
        </r>
        <r>
          <rPr>
            <sz val="9"/>
            <color indexed="81"/>
            <rFont val="Tahoma"/>
            <family val="2"/>
          </rPr>
          <t xml:space="preserve">
Isikan rinciannya</t>
        </r>
      </text>
    </comment>
    <comment ref="L236" authorId="0" shapeId="0">
      <text>
        <r>
          <rPr>
            <b/>
            <sz val="9"/>
            <color indexed="81"/>
            <rFont val="Tahoma"/>
            <family val="2"/>
          </rPr>
          <t>VERA:</t>
        </r>
        <r>
          <rPr>
            <sz val="9"/>
            <color indexed="81"/>
            <rFont val="Tahoma"/>
            <family val="2"/>
          </rPr>
          <t xml:space="preserve">
Biarkan kotak ini apa adanya</t>
        </r>
      </text>
    </comment>
    <comment ref="L254" authorId="0" shapeId="0">
      <text>
        <r>
          <rPr>
            <b/>
            <sz val="9"/>
            <color indexed="81"/>
            <rFont val="Tahoma"/>
            <family val="2"/>
          </rPr>
          <t>VERA:</t>
        </r>
        <r>
          <rPr>
            <sz val="9"/>
            <color indexed="81"/>
            <rFont val="Tahoma"/>
            <family val="2"/>
          </rPr>
          <t xml:space="preserve">
Biarkan kotak ini apa adanya</t>
        </r>
      </text>
    </comment>
    <comment ref="C259" authorId="0" shapeId="0">
      <text>
        <r>
          <rPr>
            <b/>
            <sz val="9"/>
            <color indexed="81"/>
            <rFont val="Tahoma"/>
            <family val="2"/>
          </rPr>
          <t>VERA:</t>
        </r>
        <r>
          <rPr>
            <sz val="9"/>
            <color indexed="81"/>
            <rFont val="Tahoma"/>
            <family val="2"/>
          </rPr>
          <t xml:space="preserve">
Apabila tidak ada realisasi belanja bantuan sosial, silahkan hapus paragraf ini.</t>
        </r>
      </text>
    </comment>
    <comment ref="E268" authorId="0" shapeId="0">
      <text>
        <r>
          <rPr>
            <b/>
            <sz val="9"/>
            <color indexed="81"/>
            <rFont val="Tahoma"/>
            <family val="2"/>
          </rPr>
          <t>VERA:</t>
        </r>
        <r>
          <rPr>
            <sz val="9"/>
            <color indexed="81"/>
            <rFont val="Tahoma"/>
            <family val="2"/>
          </rPr>
          <t xml:space="preserve">
Isikan jika ada</t>
        </r>
      </text>
    </comment>
    <comment ref="F268" authorId="0" shapeId="0">
      <text>
        <r>
          <rPr>
            <b/>
            <sz val="9"/>
            <color indexed="81"/>
            <rFont val="Tahoma"/>
            <family val="2"/>
          </rPr>
          <t>VERA:</t>
        </r>
        <r>
          <rPr>
            <sz val="9"/>
            <color indexed="81"/>
            <rFont val="Tahoma"/>
            <family val="2"/>
          </rPr>
          <t xml:space="preserve">
Isikan jika ada</t>
        </r>
      </text>
    </comment>
  </commentList>
</comments>
</file>

<file path=xl/comments6.xml><?xml version="1.0" encoding="utf-8"?>
<comments xmlns="http://schemas.openxmlformats.org/spreadsheetml/2006/main">
  <authors>
    <author>AXIOO</author>
  </authors>
  <commentList>
    <comment ref="C15" authorId="0" shapeId="0">
      <text>
        <r>
          <rPr>
            <b/>
            <sz val="9"/>
            <color indexed="81"/>
            <rFont val="Tahoma"/>
            <family val="2"/>
          </rPr>
          <t>VERA:</t>
        </r>
        <r>
          <rPr>
            <sz val="9"/>
            <color indexed="81"/>
            <rFont val="Tahoma"/>
            <family val="2"/>
          </rPr>
          <t xml:space="preserve">
Isikan Nama Bank dan Nomor Rekening</t>
        </r>
      </text>
    </comment>
    <comment ref="E15" authorId="0" shapeId="0">
      <text>
        <r>
          <rPr>
            <b/>
            <sz val="9"/>
            <color indexed="81"/>
            <rFont val="Tahoma"/>
            <family val="2"/>
          </rPr>
          <t>VERA:</t>
        </r>
        <r>
          <rPr>
            <sz val="9"/>
            <color indexed="81"/>
            <rFont val="Tahoma"/>
            <family val="2"/>
          </rPr>
          <t xml:space="preserve">
Isikan saldo uang tunai</t>
        </r>
      </text>
    </comment>
    <comment ref="F15" authorId="0" shapeId="0">
      <text>
        <r>
          <rPr>
            <b/>
            <sz val="9"/>
            <color indexed="81"/>
            <rFont val="Tahoma"/>
            <family val="2"/>
          </rPr>
          <t>VERA:</t>
        </r>
        <r>
          <rPr>
            <sz val="9"/>
            <color indexed="81"/>
            <rFont val="Tahoma"/>
            <family val="2"/>
          </rPr>
          <t xml:space="preserve">
Isikan data tahun 2014</t>
        </r>
      </text>
    </comment>
    <comment ref="E16" authorId="0" shapeId="0">
      <text>
        <r>
          <rPr>
            <b/>
            <sz val="9"/>
            <color indexed="81"/>
            <rFont val="Tahoma"/>
            <family val="2"/>
          </rPr>
          <t>VERA:</t>
        </r>
        <r>
          <rPr>
            <sz val="9"/>
            <color indexed="81"/>
            <rFont val="Tahoma"/>
            <family val="2"/>
          </rPr>
          <t xml:space="preserve">
Isikan saldo di Rekening Koran</t>
        </r>
      </text>
    </comment>
    <comment ref="E17" authorId="0" shapeId="0">
      <text>
        <r>
          <rPr>
            <b/>
            <sz val="9"/>
            <color indexed="81"/>
            <rFont val="Tahoma"/>
            <family val="2"/>
          </rPr>
          <t>VERA:</t>
        </r>
        <r>
          <rPr>
            <sz val="9"/>
            <color indexed="81"/>
            <rFont val="Tahoma"/>
            <family val="2"/>
          </rPr>
          <t xml:space="preserve">
Isikan saldo Kuitansi UP</t>
        </r>
      </text>
    </comment>
    <comment ref="E29" authorId="0" shapeId="0">
      <text>
        <r>
          <rPr>
            <b/>
            <sz val="9"/>
            <color indexed="81"/>
            <rFont val="Tahoma"/>
            <family val="2"/>
          </rPr>
          <t>VERA:</t>
        </r>
        <r>
          <rPr>
            <sz val="9"/>
            <color indexed="81"/>
            <rFont val="Tahoma"/>
            <family val="2"/>
          </rPr>
          <t xml:space="preserve">
Isikan nilainya</t>
        </r>
      </text>
    </comment>
    <comment ref="E30" authorId="0" shapeId="0">
      <text>
        <r>
          <rPr>
            <b/>
            <sz val="9"/>
            <color indexed="81"/>
            <rFont val="Tahoma"/>
            <family val="2"/>
          </rPr>
          <t>VERA:</t>
        </r>
        <r>
          <rPr>
            <sz val="9"/>
            <color indexed="81"/>
            <rFont val="Tahoma"/>
            <family val="2"/>
          </rPr>
          <t xml:space="preserve">
Isikan nilainya</t>
        </r>
      </text>
    </comment>
    <comment ref="E51" authorId="0" shapeId="0">
      <text>
        <r>
          <rPr>
            <b/>
            <sz val="9"/>
            <color indexed="81"/>
            <rFont val="Tahoma"/>
            <family val="2"/>
          </rPr>
          <t>VERA:</t>
        </r>
        <r>
          <rPr>
            <sz val="9"/>
            <color indexed="81"/>
            <rFont val="Tahoma"/>
            <family val="2"/>
          </rPr>
          <t xml:space="preserve">
Isikan rincian kas lainnya</t>
        </r>
      </text>
    </comment>
    <comment ref="F51" authorId="0" shapeId="0">
      <text>
        <r>
          <rPr>
            <b/>
            <sz val="9"/>
            <color indexed="81"/>
            <rFont val="Tahoma"/>
            <family val="2"/>
          </rPr>
          <t>VERA:</t>
        </r>
        <r>
          <rPr>
            <sz val="9"/>
            <color indexed="81"/>
            <rFont val="Tahoma"/>
            <family val="2"/>
          </rPr>
          <t xml:space="preserve">
Isikan rincian kas lainnya</t>
        </r>
      </text>
    </comment>
    <comment ref="E79" authorId="0" shapeId="0">
      <text>
        <r>
          <rPr>
            <b/>
            <sz val="9"/>
            <color indexed="81"/>
            <rFont val="Tahoma"/>
            <family val="2"/>
          </rPr>
          <t>VERA:</t>
        </r>
        <r>
          <rPr>
            <sz val="9"/>
            <color indexed="81"/>
            <rFont val="Tahoma"/>
            <family val="2"/>
          </rPr>
          <t xml:space="preserve">
Isikan nilainya</t>
        </r>
      </text>
    </comment>
    <comment ref="F79" authorId="0" shapeId="0">
      <text>
        <r>
          <rPr>
            <b/>
            <sz val="9"/>
            <color indexed="81"/>
            <rFont val="Tahoma"/>
            <family val="2"/>
          </rPr>
          <t>VERA:</t>
        </r>
        <r>
          <rPr>
            <sz val="9"/>
            <color indexed="81"/>
            <rFont val="Tahoma"/>
            <family val="2"/>
          </rPr>
          <t xml:space="preserve">
Isikan nilainya</t>
        </r>
      </text>
    </comment>
    <comment ref="E93" authorId="0" shapeId="0">
      <text>
        <r>
          <rPr>
            <b/>
            <sz val="9"/>
            <color indexed="81"/>
            <rFont val="Tahoma"/>
            <family val="2"/>
          </rPr>
          <t>VERA:</t>
        </r>
        <r>
          <rPr>
            <sz val="9"/>
            <color indexed="81"/>
            <rFont val="Tahoma"/>
            <family val="2"/>
          </rPr>
          <t xml:space="preserve">
Isikan nilainya</t>
        </r>
      </text>
    </comment>
    <comment ref="F93" authorId="0" shapeId="0">
      <text>
        <r>
          <rPr>
            <b/>
            <sz val="9"/>
            <color indexed="81"/>
            <rFont val="Tahoma"/>
            <family val="2"/>
          </rPr>
          <t>VERA:</t>
        </r>
        <r>
          <rPr>
            <sz val="9"/>
            <color indexed="81"/>
            <rFont val="Tahoma"/>
            <family val="2"/>
          </rPr>
          <t xml:space="preserve">
Isikan nilainya</t>
        </r>
      </text>
    </comment>
    <comment ref="E139" authorId="0" shapeId="0">
      <text>
        <r>
          <rPr>
            <b/>
            <sz val="9"/>
            <color indexed="81"/>
            <rFont val="Tahoma"/>
            <family val="2"/>
          </rPr>
          <t>VERA:</t>
        </r>
        <r>
          <rPr>
            <sz val="9"/>
            <color indexed="81"/>
            <rFont val="Tahoma"/>
            <family val="2"/>
          </rPr>
          <t xml:space="preserve">
Isikan datanya</t>
        </r>
      </text>
    </comment>
    <comment ref="F139" authorId="0" shapeId="0">
      <text>
        <r>
          <rPr>
            <b/>
            <sz val="9"/>
            <color indexed="81"/>
            <rFont val="Tahoma"/>
            <family val="2"/>
          </rPr>
          <t>VERA:</t>
        </r>
        <r>
          <rPr>
            <sz val="9"/>
            <color indexed="81"/>
            <rFont val="Tahoma"/>
            <family val="2"/>
          </rPr>
          <t xml:space="preserve">
Isikan datanya</t>
        </r>
      </text>
    </comment>
    <comment ref="E154" authorId="0" shapeId="0">
      <text>
        <r>
          <rPr>
            <sz val="9"/>
            <color indexed="81"/>
            <rFont val="Tahoma"/>
            <family val="2"/>
          </rPr>
          <t>VERA :
Isikan datanya</t>
        </r>
      </text>
    </comment>
    <comment ref="F154" authorId="0" shapeId="0">
      <text>
        <r>
          <rPr>
            <b/>
            <sz val="9"/>
            <color indexed="81"/>
            <rFont val="Tahoma"/>
            <family val="2"/>
          </rPr>
          <t>VERA:</t>
        </r>
        <r>
          <rPr>
            <sz val="9"/>
            <color indexed="81"/>
            <rFont val="Tahoma"/>
            <family val="2"/>
          </rPr>
          <t xml:space="preserve">
Isikan datanya</t>
        </r>
      </text>
    </comment>
    <comment ref="E169" authorId="0" shapeId="0">
      <text>
        <r>
          <rPr>
            <b/>
            <sz val="9"/>
            <color indexed="81"/>
            <rFont val="Tahoma"/>
            <family val="2"/>
          </rPr>
          <t>VERA:</t>
        </r>
        <r>
          <rPr>
            <sz val="9"/>
            <color indexed="81"/>
            <rFont val="Tahoma"/>
            <family val="2"/>
          </rPr>
          <t xml:space="preserve">
Isikan rincian persedian</t>
        </r>
      </text>
    </comment>
    <comment ref="F169" authorId="0" shapeId="0">
      <text>
        <r>
          <rPr>
            <b/>
            <sz val="9"/>
            <color indexed="81"/>
            <rFont val="Tahoma"/>
            <family val="2"/>
          </rPr>
          <t>VERA:</t>
        </r>
        <r>
          <rPr>
            <sz val="9"/>
            <color indexed="81"/>
            <rFont val="Tahoma"/>
            <family val="2"/>
          </rPr>
          <t xml:space="preserve">
isikan rincian persediaan</t>
        </r>
      </text>
    </comment>
    <comment ref="E191" authorId="0" shapeId="0">
      <text>
        <r>
          <rPr>
            <b/>
            <sz val="9"/>
            <color indexed="81"/>
            <rFont val="Tahoma"/>
            <family val="2"/>
          </rPr>
          <t>VERA:</t>
        </r>
        <r>
          <rPr>
            <sz val="9"/>
            <color indexed="81"/>
            <rFont val="Tahoma"/>
            <family val="2"/>
          </rPr>
          <t xml:space="preserve">
Isikan rincian data TP/TGR 2015</t>
        </r>
      </text>
    </comment>
    <comment ref="F191" authorId="0" shapeId="0">
      <text>
        <r>
          <rPr>
            <b/>
            <sz val="9"/>
            <color indexed="81"/>
            <rFont val="Tahoma"/>
            <family val="2"/>
          </rPr>
          <t>VERA:</t>
        </r>
        <r>
          <rPr>
            <sz val="9"/>
            <color indexed="81"/>
            <rFont val="Tahoma"/>
            <family val="2"/>
          </rPr>
          <t xml:space="preserve">
Isikan rincian tagihan TP/TGR 2014</t>
        </r>
      </text>
    </comment>
    <comment ref="B233" authorId="0" shapeId="0">
      <text>
        <r>
          <rPr>
            <b/>
            <sz val="9"/>
            <color indexed="81"/>
            <rFont val="Tahoma"/>
            <family val="2"/>
          </rPr>
          <t>VERA:</t>
        </r>
        <r>
          <rPr>
            <sz val="9"/>
            <color indexed="81"/>
            <rFont val="Tahoma"/>
            <family val="2"/>
          </rPr>
          <t xml:space="preserve">
Apabila ada perubahan nilai Tanah, isikan pada kolom yang telah disediakan disamping ini.</t>
        </r>
      </text>
    </comment>
    <comment ref="F239" authorId="0" shapeId="0">
      <text>
        <r>
          <rPr>
            <b/>
            <sz val="9"/>
            <color indexed="81"/>
            <rFont val="Tahoma"/>
            <family val="2"/>
          </rPr>
          <t>VERA:</t>
        </r>
        <r>
          <rPr>
            <sz val="9"/>
            <color indexed="81"/>
            <rFont val="Tahoma"/>
            <family val="2"/>
          </rPr>
          <t xml:space="preserve">
Isikan mutasi tambah dan kurang (bila ada)</t>
        </r>
      </text>
    </comment>
    <comment ref="F242" authorId="0" shapeId="0">
      <text>
        <r>
          <rPr>
            <b/>
            <sz val="9"/>
            <color indexed="81"/>
            <rFont val="Tahoma"/>
            <family val="2"/>
          </rPr>
          <t>VERA:</t>
        </r>
        <r>
          <rPr>
            <sz val="9"/>
            <color indexed="81"/>
            <rFont val="Tahoma"/>
            <family val="2"/>
          </rPr>
          <t xml:space="preserve">
Isikan mutasi tambah dan kurang (bila ada)</t>
        </r>
      </text>
    </comment>
    <comment ref="C285" authorId="0" shapeId="0">
      <text>
        <r>
          <rPr>
            <b/>
            <sz val="9"/>
            <color indexed="81"/>
            <rFont val="Tahoma"/>
            <family val="2"/>
          </rPr>
          <t>VERA:</t>
        </r>
        <r>
          <rPr>
            <sz val="9"/>
            <color indexed="81"/>
            <rFont val="Tahoma"/>
            <family val="2"/>
          </rPr>
          <t xml:space="preserve">
Isikan mutasi penambahan peralatan dan mesin</t>
        </r>
      </text>
    </comment>
    <comment ref="C289" authorId="0" shapeId="0">
      <text>
        <r>
          <rPr>
            <b/>
            <sz val="9"/>
            <color indexed="81"/>
            <rFont val="Tahoma"/>
            <family val="2"/>
          </rPr>
          <t>VERA:</t>
        </r>
        <r>
          <rPr>
            <sz val="9"/>
            <color indexed="81"/>
            <rFont val="Tahoma"/>
            <family val="2"/>
          </rPr>
          <t xml:space="preserve">
Isikan mutasi pengurangan peralatan dan mesin</t>
        </r>
      </text>
    </comment>
    <comment ref="C320" authorId="0" shapeId="0">
      <text>
        <r>
          <rPr>
            <b/>
            <sz val="9"/>
            <color indexed="81"/>
            <rFont val="Tahoma"/>
            <family val="2"/>
          </rPr>
          <t>VERA:</t>
        </r>
        <r>
          <rPr>
            <sz val="9"/>
            <color indexed="81"/>
            <rFont val="Tahoma"/>
            <family val="2"/>
          </rPr>
          <t xml:space="preserve">
Isikan penambahan dan pengurangan Gedung dan Bangunan</t>
        </r>
      </text>
    </comment>
    <comment ref="B347" authorId="0" shapeId="0">
      <text>
        <r>
          <rPr>
            <b/>
            <sz val="9"/>
            <color indexed="81"/>
            <rFont val="Tahoma"/>
            <family val="2"/>
          </rPr>
          <t>VERA:</t>
        </r>
        <r>
          <rPr>
            <sz val="9"/>
            <color indexed="81"/>
            <rFont val="Tahoma"/>
            <family val="2"/>
          </rPr>
          <t xml:space="preserve">
Pengisian penjelasan naik/tutun pada kotak yang sudah disediakan disamping.</t>
        </r>
      </text>
    </comment>
    <comment ref="B366" authorId="0" shapeId="0">
      <text>
        <r>
          <rPr>
            <b/>
            <sz val="9"/>
            <color indexed="81"/>
            <rFont val="Tahoma"/>
            <family val="2"/>
          </rPr>
          <t>VERA:</t>
        </r>
        <r>
          <rPr>
            <sz val="9"/>
            <color indexed="81"/>
            <rFont val="Tahoma"/>
            <family val="2"/>
          </rPr>
          <t xml:space="preserve">
Jelaskan apabila masih ada KDP</t>
        </r>
      </text>
    </comment>
    <comment ref="E437" authorId="0" shapeId="0">
      <text>
        <r>
          <rPr>
            <b/>
            <sz val="9"/>
            <color indexed="81"/>
            <rFont val="Tahoma"/>
            <family val="2"/>
          </rPr>
          <t>VERA:</t>
        </r>
        <r>
          <rPr>
            <sz val="9"/>
            <color indexed="81"/>
            <rFont val="Tahoma"/>
            <family val="2"/>
          </rPr>
          <t xml:space="preserve">
Isikan akumulasi penyusutannya</t>
        </r>
      </text>
    </comment>
    <comment ref="E438" authorId="0" shapeId="0">
      <text>
        <r>
          <rPr>
            <b/>
            <sz val="9"/>
            <color indexed="81"/>
            <rFont val="Tahoma"/>
            <family val="2"/>
          </rPr>
          <t>VERA:</t>
        </r>
        <r>
          <rPr>
            <sz val="9"/>
            <color indexed="81"/>
            <rFont val="Tahoma"/>
            <family val="2"/>
          </rPr>
          <t xml:space="preserve">
Isikan akumulasi penyusutannya</t>
        </r>
      </text>
    </comment>
    <comment ref="E439" authorId="0" shapeId="0">
      <text>
        <r>
          <rPr>
            <b/>
            <sz val="9"/>
            <color indexed="81"/>
            <rFont val="Tahoma"/>
            <family val="2"/>
          </rPr>
          <t>VERA:</t>
        </r>
        <r>
          <rPr>
            <sz val="9"/>
            <color indexed="81"/>
            <rFont val="Tahoma"/>
            <family val="2"/>
          </rPr>
          <t xml:space="preserve">
Isikan akumulasi penyusutannya</t>
        </r>
      </text>
    </comment>
    <comment ref="E440" authorId="0" shapeId="0">
      <text>
        <r>
          <rPr>
            <b/>
            <sz val="9"/>
            <color indexed="81"/>
            <rFont val="Tahoma"/>
            <family val="2"/>
          </rPr>
          <t>VERA:</t>
        </r>
        <r>
          <rPr>
            <sz val="9"/>
            <color indexed="81"/>
            <rFont val="Tahoma"/>
            <family val="2"/>
          </rPr>
          <t xml:space="preserve">
Isikan akumulasi penyusutannya</t>
        </r>
      </text>
    </comment>
    <comment ref="E473" authorId="0" shapeId="0">
      <text>
        <r>
          <rPr>
            <b/>
            <sz val="9"/>
            <color indexed="81"/>
            <rFont val="Tahoma"/>
            <family val="2"/>
          </rPr>
          <t>VERA:</t>
        </r>
        <r>
          <rPr>
            <sz val="9"/>
            <color indexed="81"/>
            <rFont val="Tahoma"/>
            <family val="2"/>
          </rPr>
          <t xml:space="preserve">
Isikan rinciannya</t>
        </r>
      </text>
    </comment>
    <comment ref="E485" authorId="0" shapeId="0">
      <text>
        <r>
          <rPr>
            <b/>
            <sz val="9"/>
            <color indexed="81"/>
            <rFont val="Tahoma"/>
            <family val="2"/>
          </rPr>
          <t>VERA:</t>
        </r>
        <r>
          <rPr>
            <sz val="9"/>
            <color indexed="81"/>
            <rFont val="Tahoma"/>
            <family val="2"/>
          </rPr>
          <t xml:space="preserve">
Isikan rinciannya</t>
        </r>
      </text>
    </comment>
    <comment ref="F485" authorId="0" shapeId="0">
      <text>
        <r>
          <rPr>
            <b/>
            <sz val="9"/>
            <color indexed="81"/>
            <rFont val="Tahoma"/>
            <family val="2"/>
          </rPr>
          <t>VERA:</t>
        </r>
        <r>
          <rPr>
            <sz val="9"/>
            <color indexed="81"/>
            <rFont val="Tahoma"/>
            <family val="2"/>
          </rPr>
          <t xml:space="preserve">
Isikan rinciannya</t>
        </r>
      </text>
    </comment>
  </commentList>
</comments>
</file>

<file path=xl/comments7.xml><?xml version="1.0" encoding="utf-8"?>
<comments xmlns="http://schemas.openxmlformats.org/spreadsheetml/2006/main">
  <authors>
    <author>AXIOO</author>
  </authors>
  <commentList>
    <comment ref="E12" authorId="0" shapeId="0">
      <text>
        <r>
          <rPr>
            <b/>
            <sz val="9"/>
            <color indexed="81"/>
            <rFont val="Tahoma"/>
            <family val="2"/>
          </rPr>
          <t>VERA:</t>
        </r>
        <r>
          <rPr>
            <sz val="9"/>
            <color indexed="81"/>
            <rFont val="Tahoma"/>
            <family val="2"/>
          </rPr>
          <t xml:space="preserve">
Isikan nilai pendapatan (bila ada)</t>
        </r>
      </text>
    </comment>
    <comment ref="B16" authorId="0" shapeId="0">
      <text>
        <r>
          <rPr>
            <b/>
            <sz val="9"/>
            <color indexed="81"/>
            <rFont val="Tahoma"/>
            <family val="2"/>
          </rPr>
          <t>VERA:</t>
        </r>
        <r>
          <rPr>
            <sz val="9"/>
            <color indexed="81"/>
            <rFont val="Tahoma"/>
            <family val="2"/>
          </rPr>
          <t xml:space="preserve">
Jelaskan rincian pendapatan, bila ada.
Apabila NIHIL silahkan hapus paragraf ini.</t>
        </r>
      </text>
    </comment>
    <comment ref="E31" authorId="0" shapeId="0">
      <text>
        <r>
          <rPr>
            <b/>
            <sz val="9"/>
            <color indexed="81"/>
            <rFont val="Tahoma"/>
            <family val="2"/>
          </rPr>
          <t>VERA:</t>
        </r>
        <r>
          <rPr>
            <sz val="9"/>
            <color indexed="81"/>
            <rFont val="Tahoma"/>
            <family val="2"/>
          </rPr>
          <t xml:space="preserve">
Isikan rincian nilai Beban Pegawai</t>
        </r>
      </text>
    </comment>
    <comment ref="E54" authorId="0" shapeId="0">
      <text>
        <r>
          <rPr>
            <b/>
            <sz val="9"/>
            <color indexed="81"/>
            <rFont val="Tahoma"/>
            <family val="2"/>
          </rPr>
          <t>VERA:</t>
        </r>
        <r>
          <rPr>
            <sz val="9"/>
            <color indexed="81"/>
            <rFont val="Tahoma"/>
            <family val="2"/>
          </rPr>
          <t xml:space="preserve">
Isikan rincian nilai Beban Persediaan (lihat neraca percobaan akrual)</t>
        </r>
      </text>
    </comment>
    <comment ref="E69" authorId="0" shapeId="0">
      <text>
        <r>
          <rPr>
            <b/>
            <sz val="9"/>
            <color indexed="81"/>
            <rFont val="Tahoma"/>
            <family val="2"/>
          </rPr>
          <t>VERA:</t>
        </r>
        <r>
          <rPr>
            <sz val="9"/>
            <color indexed="81"/>
            <rFont val="Tahoma"/>
            <family val="2"/>
          </rPr>
          <t xml:space="preserve">
Isikan rincian nilai Beban Barang dan Jasa</t>
        </r>
      </text>
    </comment>
    <comment ref="E73" authorId="0" shapeId="0">
      <text>
        <r>
          <rPr>
            <b/>
            <sz val="9"/>
            <color indexed="81"/>
            <rFont val="Tahoma"/>
            <family val="2"/>
          </rPr>
          <t>VERA:</t>
        </r>
        <r>
          <rPr>
            <sz val="9"/>
            <color indexed="81"/>
            <rFont val="Tahoma"/>
            <family val="2"/>
          </rPr>
          <t xml:space="preserve">
Isikan rincian nilai Beban Barang dan Jasa</t>
        </r>
      </text>
    </comment>
    <comment ref="E76" authorId="0" shapeId="0">
      <text>
        <r>
          <rPr>
            <b/>
            <sz val="9"/>
            <color indexed="81"/>
            <rFont val="Tahoma"/>
            <family val="2"/>
          </rPr>
          <t>VERA:</t>
        </r>
        <r>
          <rPr>
            <sz val="9"/>
            <color indexed="81"/>
            <rFont val="Tahoma"/>
            <family val="2"/>
          </rPr>
          <t xml:space="preserve">
Isikan rincian nilai Beban Barang dan Jasa</t>
        </r>
      </text>
    </comment>
    <comment ref="E98" authorId="0" shapeId="0">
      <text>
        <r>
          <rPr>
            <b/>
            <sz val="9"/>
            <color indexed="81"/>
            <rFont val="Tahoma"/>
            <family val="2"/>
          </rPr>
          <t>VERA:</t>
        </r>
        <r>
          <rPr>
            <sz val="9"/>
            <color indexed="81"/>
            <rFont val="Tahoma"/>
            <family val="2"/>
          </rPr>
          <t xml:space="preserve">
Isikan rincian nilai beban pemeliharaan</t>
        </r>
      </text>
    </comment>
    <comment ref="E114" authorId="0" shapeId="0">
      <text>
        <r>
          <rPr>
            <b/>
            <sz val="9"/>
            <color indexed="81"/>
            <rFont val="Tahoma"/>
            <family val="2"/>
          </rPr>
          <t>VERA:</t>
        </r>
        <r>
          <rPr>
            <sz val="9"/>
            <color indexed="81"/>
            <rFont val="Tahoma"/>
            <family val="2"/>
          </rPr>
          <t xml:space="preserve">
Isikan rincian nilai Beban Perjalanan Dinas</t>
        </r>
      </text>
    </comment>
    <comment ref="E132" authorId="0" shapeId="0">
      <text>
        <r>
          <rPr>
            <b/>
            <sz val="9"/>
            <color indexed="81"/>
            <rFont val="Tahoma"/>
            <family val="2"/>
          </rPr>
          <t>VERA:</t>
        </r>
        <r>
          <rPr>
            <sz val="9"/>
            <color indexed="81"/>
            <rFont val="Tahoma"/>
            <family val="2"/>
          </rPr>
          <t xml:space="preserve">
Isikan rincian nilai Beban Barang untuk Diserahkan kepada Masyarakat</t>
        </r>
      </text>
    </comment>
    <comment ref="E146" authorId="0" shapeId="0">
      <text>
        <r>
          <rPr>
            <b/>
            <sz val="9"/>
            <color indexed="81"/>
            <rFont val="Tahoma"/>
            <family val="2"/>
          </rPr>
          <t>VERA:</t>
        </r>
        <r>
          <rPr>
            <sz val="9"/>
            <color indexed="81"/>
            <rFont val="Tahoma"/>
            <family val="2"/>
          </rPr>
          <t xml:space="preserve">
Isikan rincian nilai beban bantuan sosial</t>
        </r>
      </text>
    </comment>
    <comment ref="E162" authorId="0" shapeId="0">
      <text>
        <r>
          <rPr>
            <b/>
            <sz val="9"/>
            <color indexed="81"/>
            <rFont val="Tahoma"/>
            <family val="2"/>
          </rPr>
          <t>VERA:</t>
        </r>
        <r>
          <rPr>
            <sz val="9"/>
            <color indexed="81"/>
            <rFont val="Tahoma"/>
            <family val="2"/>
          </rPr>
          <t xml:space="preserve">
Isikan nilai Beban Penyusutan dan Amortisasi</t>
        </r>
      </text>
    </comment>
    <comment ref="E182" authorId="0" shapeId="0">
      <text>
        <r>
          <rPr>
            <b/>
            <sz val="9"/>
            <color indexed="81"/>
            <rFont val="Tahoma"/>
            <family val="2"/>
          </rPr>
          <t>VERA:</t>
        </r>
        <r>
          <rPr>
            <sz val="9"/>
            <color indexed="81"/>
            <rFont val="Tahoma"/>
            <family val="2"/>
          </rPr>
          <t xml:space="preserve">
Isikan di sini</t>
        </r>
      </text>
    </comment>
    <comment ref="E196" authorId="0" shapeId="0">
      <text>
        <r>
          <rPr>
            <b/>
            <sz val="9"/>
            <color indexed="81"/>
            <rFont val="Tahoma"/>
            <family val="2"/>
          </rPr>
          <t>VERA:</t>
        </r>
        <r>
          <rPr>
            <sz val="9"/>
            <color indexed="81"/>
            <rFont val="Tahoma"/>
            <family val="2"/>
          </rPr>
          <t xml:space="preserve">
Isikan rincian kegiatan non operasional</t>
        </r>
      </text>
    </comment>
    <comment ref="E211" authorId="0" shapeId="0">
      <text>
        <r>
          <rPr>
            <b/>
            <sz val="9"/>
            <color indexed="81"/>
            <rFont val="Tahoma"/>
            <family val="2"/>
          </rPr>
          <t>VERA:</t>
        </r>
        <r>
          <rPr>
            <sz val="9"/>
            <color indexed="81"/>
            <rFont val="Tahoma"/>
            <family val="2"/>
          </rPr>
          <t xml:space="preserve">
Isikan rincian pos luar biasa (jika ada)</t>
        </r>
      </text>
    </comment>
  </commentList>
</comments>
</file>

<file path=xl/comments8.xml><?xml version="1.0" encoding="utf-8"?>
<comments xmlns="http://schemas.openxmlformats.org/spreadsheetml/2006/main">
  <authors>
    <author>AXIOO</author>
  </authors>
  <commentList>
    <comment ref="E37" authorId="0" shapeId="0">
      <text>
        <r>
          <rPr>
            <b/>
            <sz val="9"/>
            <color indexed="81"/>
            <rFont val="Tahoma"/>
            <family val="2"/>
          </rPr>
          <t>VERA:</t>
        </r>
        <r>
          <rPr>
            <sz val="9"/>
            <color indexed="81"/>
            <rFont val="Tahoma"/>
            <family val="2"/>
          </rPr>
          <t xml:space="preserve">
Isikan rincian koreksi rincian persediaan di sini</t>
        </r>
      </text>
    </comment>
    <comment ref="E61" authorId="0" shapeId="0">
      <text>
        <r>
          <rPr>
            <b/>
            <sz val="9"/>
            <color indexed="81"/>
            <rFont val="Tahoma"/>
            <family val="2"/>
          </rPr>
          <t>VERA:</t>
        </r>
        <r>
          <rPr>
            <sz val="9"/>
            <color indexed="81"/>
            <rFont val="Tahoma"/>
            <family val="2"/>
          </rPr>
          <t xml:space="preserve">
Isikan rincian koreksi atas beban (jika ada)</t>
        </r>
      </text>
    </comment>
    <comment ref="E76" authorId="0" shapeId="0">
      <text>
        <r>
          <rPr>
            <b/>
            <sz val="9"/>
            <color indexed="81"/>
            <rFont val="Tahoma"/>
            <family val="2"/>
          </rPr>
          <t>VERA:</t>
        </r>
        <r>
          <rPr>
            <sz val="9"/>
            <color indexed="81"/>
            <rFont val="Tahoma"/>
            <family val="2"/>
          </rPr>
          <t xml:space="preserve">
Isikan rincian koreksi atas pendapatan (jika ada)</t>
        </r>
      </text>
    </comment>
    <comment ref="E94" authorId="0" shapeId="0">
      <text>
        <r>
          <rPr>
            <b/>
            <sz val="9"/>
            <color indexed="81"/>
            <rFont val="Tahoma"/>
            <family val="2"/>
          </rPr>
          <t>VERA:</t>
        </r>
        <r>
          <rPr>
            <sz val="9"/>
            <color indexed="81"/>
            <rFont val="Tahoma"/>
            <family val="2"/>
          </rPr>
          <t xml:space="preserve">
Isikan rincian koreksi atas pendapatan (jika ada)</t>
        </r>
      </text>
    </comment>
    <comment ref="E126" authorId="0" shapeId="0">
      <text>
        <r>
          <rPr>
            <b/>
            <sz val="9"/>
            <color indexed="81"/>
            <rFont val="Tahoma"/>
            <family val="2"/>
          </rPr>
          <t>VERA:</t>
        </r>
        <r>
          <rPr>
            <sz val="9"/>
            <color indexed="81"/>
            <rFont val="Tahoma"/>
            <family val="2"/>
          </rPr>
          <t xml:space="preserve">
Isikan rincian koreksi atas beban (jika ada)</t>
        </r>
      </text>
    </comment>
  </commentList>
</comments>
</file>

<file path=xl/sharedStrings.xml><?xml version="1.0" encoding="utf-8"?>
<sst xmlns="http://schemas.openxmlformats.org/spreadsheetml/2006/main" count="5402" uniqueCount="2420">
  <si>
    <t>DAFTAR ISI</t>
  </si>
  <si>
    <t xml:space="preserve">      A.  Penjelasan Umum</t>
  </si>
  <si>
    <t xml:space="preserve">      B.  Penjelasan atas Pos-pos Laporan Realisasi Anggaran</t>
  </si>
  <si>
    <t xml:space="preserve">      C.  Penjelasan atas Pos-pos Neraca</t>
  </si>
  <si>
    <t>DAFTAR TABEL</t>
  </si>
  <si>
    <t xml:space="preserve">       Hal</t>
  </si>
  <si>
    <t xml:space="preserve">       </t>
  </si>
  <si>
    <t>Tabel 1</t>
  </si>
  <si>
    <t>:</t>
  </si>
  <si>
    <t>Tabel 2</t>
  </si>
  <si>
    <t>Tabel 3</t>
  </si>
  <si>
    <t>Tabel 4</t>
  </si>
  <si>
    <t>Tabel 5</t>
  </si>
  <si>
    <t>Tabel 6</t>
  </si>
  <si>
    <t>Tabel 7</t>
  </si>
  <si>
    <t>Tabel 8</t>
  </si>
  <si>
    <t>Tabel 9</t>
  </si>
  <si>
    <t>Tabel 10</t>
  </si>
  <si>
    <t>Tabel 11</t>
  </si>
  <si>
    <t>Rincian Kas di Bendahara Pengeluaran</t>
  </si>
  <si>
    <t>Tabel 12</t>
  </si>
  <si>
    <t>Rincian Kas di Bendahara Penerimaan</t>
  </si>
  <si>
    <t>Tabel 13</t>
  </si>
  <si>
    <t>Rincian Kas Lainnya dan Setara Kas</t>
  </si>
  <si>
    <t>Tabel 14</t>
  </si>
  <si>
    <t>Rincian Piutang Bukan Pajak</t>
  </si>
  <si>
    <t>Tabel 15</t>
  </si>
  <si>
    <t>Tabel 16</t>
  </si>
  <si>
    <t>Tabel 17</t>
  </si>
  <si>
    <t>Tabel 18</t>
  </si>
  <si>
    <t>Tabel 19</t>
  </si>
  <si>
    <t>Tabel 20</t>
  </si>
  <si>
    <t>Rincian Persediaan</t>
  </si>
  <si>
    <t>Tabel 21</t>
  </si>
  <si>
    <t>Tabel 22</t>
  </si>
  <si>
    <t>Tabel 23</t>
  </si>
  <si>
    <t>Tabel 24</t>
  </si>
  <si>
    <t>Tabel 25</t>
  </si>
  <si>
    <t>Tabel 26</t>
  </si>
  <si>
    <t>Tabel 27</t>
  </si>
  <si>
    <t>Tabel 28</t>
  </si>
  <si>
    <t>Rincian Aset Tak Berwujud</t>
  </si>
  <si>
    <t>Tabel 29</t>
  </si>
  <si>
    <t>PERNYATAAN TANGGUNG JAWAB</t>
  </si>
  <si>
    <t>Laporan  Keuangan  tersebut  telah  disusun  berdasarkan  sistem  pengendalian intern yang memadai, dan isinya telah menyajikan informasi pelaksanaan anggaran dan posisi keuangan secara layak sesuai dengan Standar Akuntansi Pemerintahan.</t>
  </si>
  <si>
    <t>Uraian</t>
  </si>
  <si>
    <t>Realisasi</t>
  </si>
  <si>
    <t>%</t>
  </si>
  <si>
    <t>Aset</t>
  </si>
  <si>
    <t>Aset Lancar</t>
  </si>
  <si>
    <t>Aset Tetap</t>
  </si>
  <si>
    <t>Piutang Jangka Panjang</t>
  </si>
  <si>
    <t>Aset Lainnya</t>
  </si>
  <si>
    <t>Kewajiban</t>
  </si>
  <si>
    <t>Kewajiban Jangka Pendek</t>
  </si>
  <si>
    <t>Ekuitas Dana</t>
  </si>
  <si>
    <t xml:space="preserve">I. LAPORAN REALISASI ANGGARAN </t>
  </si>
  <si>
    <t xml:space="preserve">LAPORAN REALISASI ANGGARAN </t>
  </si>
  <si>
    <t>(Dalam Rupiah)</t>
  </si>
  <si>
    <t>Anggaran</t>
  </si>
  <si>
    <t>PENDAPATAN</t>
  </si>
  <si>
    <t>1.</t>
  </si>
  <si>
    <t>Penerimaan Negara Bukan Pajak</t>
  </si>
  <si>
    <t>BELANJA</t>
  </si>
  <si>
    <t>Belanja Pegawai</t>
  </si>
  <si>
    <t>2.</t>
  </si>
  <si>
    <t>Belanja Barang</t>
  </si>
  <si>
    <t>3.</t>
  </si>
  <si>
    <t>Belanja Modal</t>
  </si>
  <si>
    <t xml:space="preserve">II. NERACA </t>
  </si>
  <si>
    <t>NERACA</t>
  </si>
  <si>
    <t>NAMA PERKIRAAN</t>
  </si>
  <si>
    <t>CATATAN</t>
  </si>
  <si>
    <t>ASET</t>
  </si>
  <si>
    <t>Kas di Bendahara Pengeluaran</t>
  </si>
  <si>
    <t>Kas di Bendahara Penerimaan</t>
  </si>
  <si>
    <t>Bagian Lancar Tagihan Penjualan Angsuran</t>
  </si>
  <si>
    <t>Persediaan</t>
  </si>
  <si>
    <t>Jumlah Aset Lancar</t>
  </si>
  <si>
    <t>Tanah</t>
  </si>
  <si>
    <t>Peralatan dan Mesin</t>
  </si>
  <si>
    <t>Gedung dan Bangunan</t>
  </si>
  <si>
    <t>Aset Tetap Lainnya</t>
  </si>
  <si>
    <t>Jumlah Aset Tetap</t>
  </si>
  <si>
    <t>Aset Tak Berwujud</t>
  </si>
  <si>
    <t>Jumlah Aset Lainnya</t>
  </si>
  <si>
    <t>JUMLAH ASET</t>
  </si>
  <si>
    <t>KEWAJIBAN</t>
  </si>
  <si>
    <t>Uang Muka dari KPPN</t>
  </si>
  <si>
    <t>Jumlah Kewajiban Jangka Pendek</t>
  </si>
  <si>
    <t>JUMLAH KEWAJIBAN</t>
  </si>
  <si>
    <t>JUMLAH EKUITAS DANA</t>
  </si>
  <si>
    <t>JUMLAH KEWAJIBAN DAN EKUITAS DANA</t>
  </si>
  <si>
    <t>A.  PENJELASAN UMUM</t>
  </si>
  <si>
    <t>Pendekatan Penyusunan Laporan Keuangan</t>
  </si>
  <si>
    <t>Belanja</t>
  </si>
  <si>
    <t>Khusus pengeluaran melalui bendahara pengeluaran, pengakuan belanja terjadi pada saat pertanggungjawaban atas pengeluaran tersebut disahkan oleh Kantor Pelayanan Perbendaharaan Negara (KPPN).</t>
  </si>
  <si>
    <t>Kas disajikan di neraca dengan menggunakan nilai nominal. Kas dalam bentuk valuta asing disajikan di neraca dengan menggunakan kurs tengah BI pada tanggal neraca.</t>
  </si>
  <si>
    <t>Pengakuan aset tetap didasarkan pada nilai satuan minimum kapitalisasi sebagai berikut:</t>
  </si>
  <si>
    <t>Kewajiban pemerintah diklasifikasikan kedalam kewajiban jangka pendek dan kewajiban jangka panjang.</t>
  </si>
  <si>
    <t>Suatu kewajiban diklasifikasikan sebagai kewajiban jangka pendek jika diharapkan untuk dibayar atau jatuh tempo dalam waktu dua belas bulan setelah tanggal pelaporan.</t>
  </si>
  <si>
    <t>Kualitas Piutang</t>
  </si>
  <si>
    <t>Penyisihan</t>
  </si>
  <si>
    <t>Lancar</t>
  </si>
  <si>
    <t>Belum dilakukan pelunasan s.d. tanggal jatuh tempo</t>
  </si>
  <si>
    <t>Kurang Lancar</t>
  </si>
  <si>
    <t>Satu bulan terhitung sejak tanggal Surat Tagihan Pertama tidak dilakukan pelunasan</t>
  </si>
  <si>
    <t>Diragukan</t>
  </si>
  <si>
    <t>Satu bulan terhitung sejak tanggal Surat Tagihan Kedua tidak dilakukan pelunasan</t>
  </si>
  <si>
    <t>Macet</t>
  </si>
  <si>
    <t>Piutang telah diserahkan kepada Panitia Urusan Piutang Negara/DJKN</t>
  </si>
  <si>
    <t>Penyusutan Aset Tetap</t>
  </si>
  <si>
    <t>No</t>
  </si>
  <si>
    <t>-</t>
  </si>
  <si>
    <t xml:space="preserve">Jumlah </t>
  </si>
  <si>
    <t xml:space="preserve"> Jumlah</t>
  </si>
  <si>
    <t>Jumlah</t>
  </si>
  <si>
    <t>Komposisi anggaran dan realisasi belanja dapat dilihat dalam grafik berikut ini:</t>
  </si>
  <si>
    <t>Pengembalian Belanja</t>
  </si>
  <si>
    <t>Belanja Pemeliharaan</t>
  </si>
  <si>
    <t xml:space="preserve">Belanja Perjalanan Dinas </t>
  </si>
  <si>
    <t>Belanja Modal Tanah</t>
  </si>
  <si>
    <t xml:space="preserve">Transaksi penambahan dan pengurangan aset lain-lain dapat dijelaskan sebagai berikut: </t>
  </si>
  <si>
    <t>EKUITAS</t>
  </si>
  <si>
    <t xml:space="preserve"> </t>
  </si>
  <si>
    <t>a.</t>
  </si>
  <si>
    <t>b.</t>
  </si>
  <si>
    <t>Kewajiban Jangka Panjang</t>
  </si>
  <si>
    <t>Belanja Barang Operasional</t>
  </si>
  <si>
    <t>Belanja Barang Non Operasional</t>
  </si>
  <si>
    <t>Belanja Jasa</t>
  </si>
  <si>
    <t>Jenis</t>
  </si>
  <si>
    <t>Uang Tunai</t>
  </si>
  <si>
    <t>No.</t>
  </si>
  <si>
    <t>Keterangan</t>
  </si>
  <si>
    <t>Debitur</t>
  </si>
  <si>
    <t>Mutasi tambah:</t>
  </si>
  <si>
    <t>Mutasi kurang:</t>
  </si>
  <si>
    <t>Nilai Penyisihan</t>
  </si>
  <si>
    <t>Total</t>
  </si>
  <si>
    <t>Nilai</t>
  </si>
  <si>
    <t>Aset Lain-lain</t>
  </si>
  <si>
    <t>Penjelasan</t>
  </si>
  <si>
    <t>NO</t>
  </si>
  <si>
    <t>DATA UMUM SATUAN KERJA</t>
  </si>
  <si>
    <t>BAGIAN ANGGARAN</t>
  </si>
  <si>
    <t>025</t>
  </si>
  <si>
    <t>ESELON I</t>
  </si>
  <si>
    <t>KANTOR WILAYAH</t>
  </si>
  <si>
    <t>1400</t>
  </si>
  <si>
    <t>SATUAN KERJA</t>
  </si>
  <si>
    <t>KANTOR PELAYANAN PERBENDAHARAAN NEGARA</t>
  </si>
  <si>
    <t>KANTOR PELAYANAN KEKAYAAN NEGARA DAN LELANG</t>
  </si>
  <si>
    <t>ALAMAT</t>
  </si>
  <si>
    <t>KOTA</t>
  </si>
  <si>
    <t>KUASA PENGGUNA ANGGARAN</t>
  </si>
  <si>
    <t>NIP</t>
  </si>
  <si>
    <t>f</t>
  </si>
  <si>
    <t>Kepala,</t>
  </si>
  <si>
    <t>Pernyataan Tanggung Jawab</t>
  </si>
  <si>
    <t>Hal</t>
  </si>
  <si>
    <t>Kata Pengantar</t>
  </si>
  <si>
    <t>c.</t>
  </si>
  <si>
    <t>d.</t>
  </si>
  <si>
    <t>Nomor Rekening Bendahara Penerimaan</t>
  </si>
  <si>
    <t>Nama Bank Bendahara Penerimaan</t>
  </si>
  <si>
    <t>Nama Bank Bendahara Pengeluaran</t>
  </si>
  <si>
    <t>Nomor Rekening Bendahara Pengeluaran</t>
  </si>
  <si>
    <t>Belanja Vakasi</t>
  </si>
  <si>
    <t>08</t>
  </si>
  <si>
    <t>527399</t>
  </si>
  <si>
    <t>030</t>
  </si>
  <si>
    <t>(lihat neraca percobaan bruto, kode trn 3)</t>
  </si>
  <si>
    <t>Grafik: Komposisi Realisasi Penerimaan PNBP Lainnya TA 2012</t>
  </si>
  <si>
    <t>Bruto</t>
  </si>
  <si>
    <t>Pengembalian</t>
  </si>
  <si>
    <t>Pend. Penjualan dan Sewa (4231XX)</t>
  </si>
  <si>
    <t>Pend. Jasa (4232XX)</t>
  </si>
  <si>
    <t>Pend. Pendidikan (4235XX)</t>
  </si>
  <si>
    <t xml:space="preserve">Pend. Iuran dan Denda (4237XX)  </t>
  </si>
  <si>
    <t>Pend. Lain-lain (4239XX)</t>
  </si>
  <si>
    <t>31 Desember 2012</t>
  </si>
  <si>
    <t>Belanja Gaji dan Tunjangan PNS (5111XX)</t>
  </si>
  <si>
    <t>Netto</t>
  </si>
  <si>
    <t>511155</t>
  </si>
  <si>
    <t>Akun</t>
  </si>
  <si>
    <t>Belanja Honorarium/Lembur/Vakasi/Tunj. Khusus &amp; Belanja Pegawai Transito (512XXX)</t>
  </si>
  <si>
    <t>511111</t>
  </si>
  <si>
    <t>511119</t>
  </si>
  <si>
    <t>511121</t>
  </si>
  <si>
    <t>511122</t>
  </si>
  <si>
    <t>511123</t>
  </si>
  <si>
    <t>511124</t>
  </si>
  <si>
    <t>511125</t>
  </si>
  <si>
    <t>511126</t>
  </si>
  <si>
    <t>511129</t>
  </si>
  <si>
    <t>511134</t>
  </si>
  <si>
    <t>511138</t>
  </si>
  <si>
    <t>511147</t>
  </si>
  <si>
    <t>511151</t>
  </si>
  <si>
    <t>511152</t>
  </si>
  <si>
    <t>511153</t>
  </si>
  <si>
    <t>511154</t>
  </si>
  <si>
    <t>511158</t>
  </si>
  <si>
    <t>511161</t>
  </si>
  <si>
    <t>511169</t>
  </si>
  <si>
    <t>511171</t>
  </si>
  <si>
    <t>511172</t>
  </si>
  <si>
    <t>511173</t>
  </si>
  <si>
    <t>511174</t>
  </si>
  <si>
    <t>511175</t>
  </si>
  <si>
    <t>511176</t>
  </si>
  <si>
    <t>511179</t>
  </si>
  <si>
    <t>511191</t>
  </si>
  <si>
    <t>511192</t>
  </si>
  <si>
    <t>511193</t>
  </si>
  <si>
    <t xml:space="preserve"> (5112XX)</t>
  </si>
  <si>
    <t>31 Desember 2013</t>
  </si>
  <si>
    <t>5113XX</t>
  </si>
  <si>
    <t>511332</t>
  </si>
  <si>
    <t>5115XX</t>
  </si>
  <si>
    <t>512XXX</t>
  </si>
  <si>
    <t>5211XX</t>
  </si>
  <si>
    <t>5212XX</t>
  </si>
  <si>
    <t>KPPN YOGYAKARTA</t>
  </si>
  <si>
    <t>015</t>
  </si>
  <si>
    <t>KEMENTERIAN KEUANGAN</t>
  </si>
  <si>
    <t>018</t>
  </si>
  <si>
    <t>JENIS KEWENANGAN</t>
  </si>
  <si>
    <t>TP</t>
  </si>
  <si>
    <t>Belanja Gaji dan Tunjangan TNI/Polri (5112XX)</t>
  </si>
  <si>
    <t>Belanja Gaji dan Tunjangan Pejabat Negara (5113XX)</t>
  </si>
  <si>
    <t>Belanja Barang Operasional (5211xx)</t>
  </si>
  <si>
    <t>Belanja Barang Non Operasional (5212XX)</t>
  </si>
  <si>
    <t>Belanja Barang Fisik Lainnya Dekonsentrasi (5213XX)</t>
  </si>
  <si>
    <t>Belanja Barang Fisik Lainnya Tugas Pembantuan (5214XX)</t>
  </si>
  <si>
    <t>Belanja Jasa (5221XX)</t>
  </si>
  <si>
    <t>Belanja Pemeliharaan (5231XX)</t>
  </si>
  <si>
    <t>Belanja Perjalanan (524XXX)</t>
  </si>
  <si>
    <t>Belanja Barang BLU (5251XX)</t>
  </si>
  <si>
    <t>Belanja Barang Untuk Diserahkan Kepada Masyarakat Pemda (526XXX)</t>
  </si>
  <si>
    <t>Belanja Modal Tanah (531XXX)</t>
  </si>
  <si>
    <t>Belanja Modal Peralatan dan Mesin (532XXX)</t>
  </si>
  <si>
    <t>Belanja Modal Gedung dan Bangunan (533XXX)</t>
  </si>
  <si>
    <t>Belanja Modal Jalan dan Jembatan (53411X)</t>
  </si>
  <si>
    <t>Belanja Modal Irigasi (53412X)</t>
  </si>
  <si>
    <t>Belanja Modal Jaringan (53413X)</t>
  </si>
  <si>
    <t>Belanja Modal Fisik Lainnya (536XXX)</t>
  </si>
  <si>
    <t>Belanja Modal BLU (537XXX)</t>
  </si>
  <si>
    <t>Belanja Modal yang Menjadi KDP (53XXXX)</t>
  </si>
  <si>
    <t>Belanja Bunga Utang (54XXXX)</t>
  </si>
  <si>
    <t>Pendapatan Hibah</t>
  </si>
  <si>
    <t>Belanja Bantuan Sosial (57XXXX)</t>
  </si>
  <si>
    <t>Pend. Jasa (4232)</t>
  </si>
  <si>
    <t>Pend. Kejaksaan dan Peradilan dan Hasil Tipikor (4234)</t>
  </si>
  <si>
    <t>Pend. Pendidikan (4235)</t>
  </si>
  <si>
    <t>Pend. Gratifikasi dan Uang Sitaan Hasil Korupsi (4236)</t>
  </si>
  <si>
    <t xml:space="preserve">Pend. Iuran dan Denda (4237)  </t>
  </si>
  <si>
    <t>Pend. Lain-lain (4239)</t>
  </si>
  <si>
    <t>Rekening Bendahara Pengeluaran :</t>
  </si>
  <si>
    <t>Nomor Rekening</t>
  </si>
  <si>
    <t>Atas Nama</t>
  </si>
  <si>
    <t>Nama Bank</t>
  </si>
  <si>
    <t>Rekening Bendahara Penerimaan :</t>
  </si>
  <si>
    <t>URAIAN</t>
  </si>
  <si>
    <t>ANGGARAN</t>
  </si>
  <si>
    <t>REALISASI</t>
  </si>
  <si>
    <t>REALISASI DI ATAS (BAWAH) ANGGARAN</t>
  </si>
  <si>
    <t>% REAL ANGG.</t>
  </si>
  <si>
    <t>A</t>
  </si>
  <si>
    <t>PENDAPATAN NEGARA DAN HIBAH</t>
  </si>
  <si>
    <t xml:space="preserve">1. </t>
  </si>
  <si>
    <t>PENERIMAAN DALAM NEGERI</t>
  </si>
  <si>
    <t>Penerimaan Perpajakan</t>
  </si>
  <si>
    <t>*</t>
  </si>
  <si>
    <t>Penerimaan SDA</t>
  </si>
  <si>
    <t>Penerimaan Laba BUMN</t>
  </si>
  <si>
    <t>PNBP Lainnya</t>
  </si>
  <si>
    <t>Pendapatan BLU</t>
  </si>
  <si>
    <t>HIBAH</t>
  </si>
  <si>
    <t>JUMLAH PENDAPATAN DAN HIBAH</t>
  </si>
  <si>
    <t>B</t>
  </si>
  <si>
    <t>Pembayaran Bunga Utang</t>
  </si>
  <si>
    <t>Subsidi</t>
  </si>
  <si>
    <t>Hibah</t>
  </si>
  <si>
    <t>JUMLAH BELANJA</t>
  </si>
  <si>
    <t>C</t>
  </si>
  <si>
    <t>SUMBER DANA / CARA PENARIKAN (SD / CP)</t>
  </si>
  <si>
    <t>Rupiah Murni</t>
  </si>
  <si>
    <t>Pinjaman Luar Negeri</t>
  </si>
  <si>
    <t>Rupiah Murni Pendamping</t>
  </si>
  <si>
    <t>PNBP</t>
  </si>
  <si>
    <t>BLU</t>
  </si>
  <si>
    <t>SUMBER DANA / CARA PENARIKAN</t>
  </si>
  <si>
    <t>Lihat laporan BMN di Neraca (INTRAKOMPTABEL)</t>
  </si>
  <si>
    <t>TANAH</t>
  </si>
  <si>
    <t>PERALATAN DAN MESIN</t>
  </si>
  <si>
    <t>JALAN DAN JEMBATAN</t>
  </si>
  <si>
    <t>GEDUNG DAN BANGUNAN</t>
  </si>
  <si>
    <t>ASET TETAP LAINNYA</t>
  </si>
  <si>
    <t>IRIGASI</t>
  </si>
  <si>
    <t>JARINGAN</t>
  </si>
  <si>
    <t>KONSTRUKSI DALAM PENGERJAAN</t>
  </si>
  <si>
    <t>Penambahan :</t>
  </si>
  <si>
    <t>Saldo Awal</t>
  </si>
  <si>
    <t>Pembelian</t>
  </si>
  <si>
    <t>Transfer Masuk</t>
  </si>
  <si>
    <t>Pengembangan</t>
  </si>
  <si>
    <t>Reklasifikasi Masuk</t>
  </si>
  <si>
    <t>Koreksi Nilai</t>
  </si>
  <si>
    <t>Lain-Lain</t>
  </si>
  <si>
    <t>Pengurangan</t>
  </si>
  <si>
    <t>Transfer Keluar</t>
  </si>
  <si>
    <t>Reklasifikasi Keluar</t>
  </si>
  <si>
    <t>Penghapusan</t>
  </si>
  <si>
    <t>Lain-lain</t>
  </si>
  <si>
    <t>Jumlah Mutasi</t>
  </si>
  <si>
    <t>Saldo per</t>
  </si>
  <si>
    <t>JUMLAH</t>
  </si>
  <si>
    <t>KENAIKAN (PENURUNAN)</t>
  </si>
  <si>
    <t>ASET LANCAR</t>
  </si>
  <si>
    <t>a</t>
  </si>
  <si>
    <t>b</t>
  </si>
  <si>
    <t>c</t>
  </si>
  <si>
    <t>d</t>
  </si>
  <si>
    <t>e</t>
  </si>
  <si>
    <t>SP2D LS Bendahara yg blm dibayarkan</t>
  </si>
  <si>
    <t>Uang Titipan Pihak Ketiga</t>
  </si>
  <si>
    <t>Bayar Ke Pihak Ketiga</t>
  </si>
  <si>
    <t>Kas pada BLU</t>
  </si>
  <si>
    <t>Saldo Rekening Koran BLU</t>
  </si>
  <si>
    <t>Kas Tunai BLU</t>
  </si>
  <si>
    <t>Kas di Bendahara Pengeluaran BLU</t>
  </si>
  <si>
    <t>JUMLAH ASET LANCAR</t>
  </si>
  <si>
    <t>INVESTASI JANGKA PANJANG</t>
  </si>
  <si>
    <t>Investasi Non Permanen BLU</t>
  </si>
  <si>
    <t>Investasi Permanen BLU</t>
  </si>
  <si>
    <t>JUMLAH INVESTASI JANGKA PANJANG</t>
  </si>
  <si>
    <t>ASET TETAP</t>
  </si>
  <si>
    <t>Jalan, Irigasi, dan Jaringan</t>
  </si>
  <si>
    <t>Konstruksi dalam Pengerjaan</t>
  </si>
  <si>
    <t>JUMLAH ASET TETAP</t>
  </si>
  <si>
    <t>ASET LAINNYA</t>
  </si>
  <si>
    <t>Tagihan Penjualan Angsuran</t>
  </si>
  <si>
    <t>JUMLAH ASET LAINNYA</t>
  </si>
  <si>
    <t>KEWAJIBAN JANGKA PENDEK</t>
  </si>
  <si>
    <t>Utang kepada Pihak Ketiga</t>
  </si>
  <si>
    <t>Utang kepada Pihak Ketiga BLU</t>
  </si>
  <si>
    <t>Pendapatan Diterima Di Muka</t>
  </si>
  <si>
    <t>JUMLAH KEWAJIBAN JANGKA PENDEK</t>
  </si>
  <si>
    <t>Aset tetap Lainnya</t>
  </si>
  <si>
    <t>Konstruksi Dalam Pengerjaan</t>
  </si>
  <si>
    <t>LAPORAN REALISASI ANGGARAN SATUAN KERJA (NETTO)</t>
  </si>
  <si>
    <t>LAPORAN REALISASI ANGGARAN SATUAN KERJA (BRUTO)</t>
  </si>
  <si>
    <t>DATA UMUM SATKER</t>
  </si>
  <si>
    <t>kdbaes1</t>
  </si>
  <si>
    <t>kdsatker</t>
  </si>
  <si>
    <t>kddekon</t>
  </si>
  <si>
    <t>nmsatker</t>
  </si>
  <si>
    <t>003030</t>
  </si>
  <si>
    <t>KD</t>
  </si>
  <si>
    <t>BPK RI PERWAKILAN PROVINSI DAERAH ISTIMEWA YOGYAKARTA</t>
  </si>
  <si>
    <t>003031</t>
  </si>
  <si>
    <t>098057</t>
  </si>
  <si>
    <t>PENGADILAN NEGERI YOGYAKARTA</t>
  </si>
  <si>
    <t>098082</t>
  </si>
  <si>
    <t>PENGADILAN NEGERI SLEMAN</t>
  </si>
  <si>
    <t>400172</t>
  </si>
  <si>
    <t>PENGADILAN NEGERI BANTUL</t>
  </si>
  <si>
    <t>400342</t>
  </si>
  <si>
    <t>PENGADILAN TINGGI YOGYAKARTA</t>
  </si>
  <si>
    <t>401199</t>
  </si>
  <si>
    <t>PENGADILAN AGAMA YOGYAKARTA</t>
  </si>
  <si>
    <t>401200</t>
  </si>
  <si>
    <t>PENGADILAN AGAMA SLEMAN</t>
  </si>
  <si>
    <t>401225</t>
  </si>
  <si>
    <t>PENGADILAN AGAMA BANTUL</t>
  </si>
  <si>
    <t>547657</t>
  </si>
  <si>
    <t>PENGADILAN TINGGI AGAMA YOGYAKARTA</t>
  </si>
  <si>
    <t>578801</t>
  </si>
  <si>
    <t>PENGADILAN TATA USAHA NEGARA YOGYAKARTA</t>
  </si>
  <si>
    <t>663292</t>
  </si>
  <si>
    <t>099128</t>
  </si>
  <si>
    <t>099131</t>
  </si>
  <si>
    <t>400173</t>
  </si>
  <si>
    <t>400343</t>
  </si>
  <si>
    <t>401201</t>
  </si>
  <si>
    <t>401202</t>
  </si>
  <si>
    <t>401226</t>
  </si>
  <si>
    <t>547658</t>
  </si>
  <si>
    <t>578802</t>
  </si>
  <si>
    <t>663293</t>
  </si>
  <si>
    <t>005655</t>
  </si>
  <si>
    <t>005662</t>
  </si>
  <si>
    <t>KEJAKSAAN NEGERI YOGYAKARTA</t>
  </si>
  <si>
    <t>005680</t>
  </si>
  <si>
    <t>KEJAKSAAN NEGERI SLEMAN</t>
  </si>
  <si>
    <t>005702</t>
  </si>
  <si>
    <t>KEJAKSAAN NEGERI BANTUL</t>
  </si>
  <si>
    <t>403140</t>
  </si>
  <si>
    <t>KP</t>
  </si>
  <si>
    <t>ISTANA KEPRESIDENAN YOGYAKARTA</t>
  </si>
  <si>
    <t>DK</t>
  </si>
  <si>
    <t>045160</t>
  </si>
  <si>
    <t>BADAN PENANGGULANGAN BENCANA DAERAH (BPBD) PROVINSI DI YOGYAKARTA</t>
  </si>
  <si>
    <t>049061</t>
  </si>
  <si>
    <t>SEKRETARIAT DAERAH PROVINSI DI YOGYAKARTA</t>
  </si>
  <si>
    <t>049073</t>
  </si>
  <si>
    <t>SATUAN POLISI PAMONG PRAJA PROVINSI DI YOGYAKARTA</t>
  </si>
  <si>
    <t>028449</t>
  </si>
  <si>
    <t>UB</t>
  </si>
  <si>
    <t>049138</t>
  </si>
  <si>
    <t>BADAN PEMBERDAYAAN PEREMPUAN DAN MASYARAKAT PROVINSI D.I. YOGYAKARTA</t>
  </si>
  <si>
    <t>040254</t>
  </si>
  <si>
    <t>DINAS PERTANIAN, PERIKANAN DAN KEHUTANAN KABUPATEN SLEMAN</t>
  </si>
  <si>
    <t>049072</t>
  </si>
  <si>
    <t>BAPPEDA PROVINSI YOGYAKARTA</t>
  </si>
  <si>
    <t>049901</t>
  </si>
  <si>
    <t>049030</t>
  </si>
  <si>
    <t>027114</t>
  </si>
  <si>
    <t>PUSAT PENDIDIKAN DAN PELATIHAN REGIONAL DI YOGYAKARTA</t>
  </si>
  <si>
    <t>049130</t>
  </si>
  <si>
    <t>AAU</t>
  </si>
  <si>
    <t>RUMAH TAHANAN NEGARA BANTUL</t>
  </si>
  <si>
    <t>BALAI PEMASYARAKATAN YOGYAKARTA</t>
  </si>
  <si>
    <t>LEMBAGA PEMASYARAKATAN YOGYAKARTA</t>
  </si>
  <si>
    <t>KANTOR IMIGRASI YOGYAKARTA</t>
  </si>
  <si>
    <t>409181</t>
  </si>
  <si>
    <t>KANWIL KEMENTERIAN HUKUM DAN HAM YOGYAKARTA</t>
  </si>
  <si>
    <t>LEMBAGA PEMASYARAKATAN NARKOTIKA YOGYAKARTA</t>
  </si>
  <si>
    <t>RUMAH PENYIMPANAN BENDA SITAAN NEGARA YOGYAKARTA</t>
  </si>
  <si>
    <t>LEMBAGA PEMASYARAKATAN SLEMAN</t>
  </si>
  <si>
    <t>RUMAH PENYIMPANAN BENDA SITAAN NEGARA BANTUL</t>
  </si>
  <si>
    <t>RUMAH TAHANAN NEGARA YOGYAKARTA</t>
  </si>
  <si>
    <t>117109</t>
  </si>
  <si>
    <t>GEDUNG KEUANGAN NEGARA YOGYAKARTA</t>
  </si>
  <si>
    <t>119525</t>
  </si>
  <si>
    <t>KANTOR PELAYANAN PAJAK PRATAMA YOGYAKARTA</t>
  </si>
  <si>
    <t>466065</t>
  </si>
  <si>
    <t>KANTOR PELAYANAN PAJAK PRATAMA BANTUL</t>
  </si>
  <si>
    <t>635794</t>
  </si>
  <si>
    <t>KANTOR PELAYANAN PAJAK PRATAMA SLEMAN</t>
  </si>
  <si>
    <t>655502</t>
  </si>
  <si>
    <t>KANTOR WILAYAH DJP DAERAH ISTIMEWA YOGYAKARTA</t>
  </si>
  <si>
    <t>410810</t>
  </si>
  <si>
    <t>KANTOR PENGAWASAN DAN PELAYANAN BC YOGYAKARTA</t>
  </si>
  <si>
    <t>KANTOR PELAYANAN PERBENDAHARAAN NEGARA YOGYAKARTA</t>
  </si>
  <si>
    <t>634277</t>
  </si>
  <si>
    <t>KANWIL DITJEN PERBENDAHARAAN PROVINSI D.I. YOGYAKARTA</t>
  </si>
  <si>
    <t>537784</t>
  </si>
  <si>
    <t>KANTOR PELAYANAN KEKAYAAN NEGARA DAN LELANG YOGYAKARTA</t>
  </si>
  <si>
    <t>561178</t>
  </si>
  <si>
    <t>BALAI DIKLAT KEUANGAN YOGYAKARTA</t>
  </si>
  <si>
    <t>049059</t>
  </si>
  <si>
    <t>049063</t>
  </si>
  <si>
    <t>DINAS PERTANIAN DAN KEHUTANAN KABUPATEN BANTUL</t>
  </si>
  <si>
    <t>049064</t>
  </si>
  <si>
    <t>049025</t>
  </si>
  <si>
    <t>049040</t>
  </si>
  <si>
    <t>049058</t>
  </si>
  <si>
    <t>DINAS KEHUTANAN DAN PERKEBUNAN PROV D.I.YOGYAKARTA</t>
  </si>
  <si>
    <t>049026</t>
  </si>
  <si>
    <t>049041</t>
  </si>
  <si>
    <t>049023</t>
  </si>
  <si>
    <t>049027</t>
  </si>
  <si>
    <t>049024</t>
  </si>
  <si>
    <t>049028</t>
  </si>
  <si>
    <t>633975</t>
  </si>
  <si>
    <t>BALAI PENGKAJIAN TEKNOLOGI PERTANIAN YOGYAKARTA</t>
  </si>
  <si>
    <t>049062</t>
  </si>
  <si>
    <t>BADAN KETAHANAN PANGAN DAN PENYULUHAN PROPINSI D.I. YOGYAKARTA</t>
  </si>
  <si>
    <t>237437</t>
  </si>
  <si>
    <t>SEKOLAH TINGGI PENYULUHAN PERTANIAN (STPP) JURUSAN PENYULUHAN PERTANIAN YOGYAKARTA</t>
  </si>
  <si>
    <t>049037</t>
  </si>
  <si>
    <t>567322</t>
  </si>
  <si>
    <t>BALAI KARANTINA PERTANIAN KELAS II YOGYAKARTA</t>
  </si>
  <si>
    <t>247178</t>
  </si>
  <si>
    <t>AKADEMI TEKNOLOGI KULIT YOGYAKARTA</t>
  </si>
  <si>
    <t>247182</t>
  </si>
  <si>
    <t>SEKOLAH MENENGAH TEKNOLOGI INDUSTRI YOGYAKARTA</t>
  </si>
  <si>
    <t>248522</t>
  </si>
  <si>
    <t>BALAI DIKLAT INDUSTRI YOGYAKARTA</t>
  </si>
  <si>
    <t>049131</t>
  </si>
  <si>
    <t>DINAS PERINDUSTRIAN, PERDAGANGAN, KOPERASI DAN UKM D.I. YOGYAKARTA</t>
  </si>
  <si>
    <t>247199</t>
  </si>
  <si>
    <t>BALAI BESAR KULIT, KARET DAN PLASTIK</t>
  </si>
  <si>
    <t>247204</t>
  </si>
  <si>
    <t>BALAI BESAR KERAJINAN DAN BATIK</t>
  </si>
  <si>
    <t>040061</t>
  </si>
  <si>
    <t>412571</t>
  </si>
  <si>
    <t>466731</t>
  </si>
  <si>
    <t>PENGEMBANGAN LLAJ D.I. YOGYAKARTA</t>
  </si>
  <si>
    <t>467076</t>
  </si>
  <si>
    <t>PENGEMBANGAN LLASDP D.I. YOGYAKARTA</t>
  </si>
  <si>
    <t>467416</t>
  </si>
  <si>
    <t>PENINGKATAN JALAN KERETA API LINTAS SELATAN JAWA</t>
  </si>
  <si>
    <t>208803</t>
  </si>
  <si>
    <t>427872</t>
  </si>
  <si>
    <t>BALAI ARKEOLOGI PROVINSI DI YOGYAKARTA</t>
  </si>
  <si>
    <t>049054</t>
  </si>
  <si>
    <t>189946</t>
  </si>
  <si>
    <t>UNIVERSITAS NEGERI YOGYAKARTA</t>
  </si>
  <si>
    <t>189971</t>
  </si>
  <si>
    <t>506315</t>
  </si>
  <si>
    <t>INSTITUT SENI INDONESIA YOGYAKARTA</t>
  </si>
  <si>
    <t>049000</t>
  </si>
  <si>
    <t>049003</t>
  </si>
  <si>
    <t>414562</t>
  </si>
  <si>
    <t>BALAI BAHASA YOGYAKARTA</t>
  </si>
  <si>
    <t>414741</t>
  </si>
  <si>
    <t>LPMP D.I. YOGYAKARTA</t>
  </si>
  <si>
    <t>414911</t>
  </si>
  <si>
    <t>PPPPTK MATEMATIKA YOGYAKARTA</t>
  </si>
  <si>
    <t>532938</t>
  </si>
  <si>
    <t>PPPPTK SENI DAN BUDAYA YOGYAKARTA</t>
  </si>
  <si>
    <t>427798</t>
  </si>
  <si>
    <t>BALAI PELESTARIAN CAGAR BUDAYA YOGYAKARTA</t>
  </si>
  <si>
    <t>427842</t>
  </si>
  <si>
    <t>BALAI PELESTARIAN NILAI BUDAYA YOGYAKARTA</t>
  </si>
  <si>
    <t>547712</t>
  </si>
  <si>
    <t>KANTOR MUSEUM BENTENG VREDEBURG, JOGJAKARTA</t>
  </si>
  <si>
    <t>040008</t>
  </si>
  <si>
    <t>049004</t>
  </si>
  <si>
    <t>049145</t>
  </si>
  <si>
    <t>DINAS KESEHATAN KAB. BANTUL</t>
  </si>
  <si>
    <t>049149</t>
  </si>
  <si>
    <t>DINAS KESEHATAN KABUPATEN SLEMAN</t>
  </si>
  <si>
    <t>049177</t>
  </si>
  <si>
    <t>DINAS KESEHATAN KOTA YOGYAKARTA</t>
  </si>
  <si>
    <t>049005</t>
  </si>
  <si>
    <t>415582</t>
  </si>
  <si>
    <t>RUMAH SAKIT UMUM DR SARDJITO YOGYAKARTA</t>
  </si>
  <si>
    <t>040005</t>
  </si>
  <si>
    <t>KANTOR KESEHATAN PELABUHAN (KKP) KELAS IV YOGYAKARTA</t>
  </si>
  <si>
    <t>049006</t>
  </si>
  <si>
    <t>415686</t>
  </si>
  <si>
    <t>049007</t>
  </si>
  <si>
    <t>632263</t>
  </si>
  <si>
    <t>POLITEKNIK KESEHATAN JOGYAKARTA</t>
  </si>
  <si>
    <t>417595</t>
  </si>
  <si>
    <t>KANWIL KEMENTERIAN AGAMA D.I. YOGYAKARTA</t>
  </si>
  <si>
    <t>417609</t>
  </si>
  <si>
    <t>KANTOR KEMENTERIAN AGAMA KOTA YOGYAKARTA</t>
  </si>
  <si>
    <t>417630</t>
  </si>
  <si>
    <t>KANTOR KEMENTERIAN AGAMA KAB. SLEMAN</t>
  </si>
  <si>
    <t>417683</t>
  </si>
  <si>
    <t>KANTOR KEMENTERIAN AGAMA KAB. BANTUL</t>
  </si>
  <si>
    <t>417596</t>
  </si>
  <si>
    <t>417610</t>
  </si>
  <si>
    <t>417631</t>
  </si>
  <si>
    <t>417684</t>
  </si>
  <si>
    <t>308628</t>
  </si>
  <si>
    <t>MADRASAH TSANAWIYAH NEGERI YOGYAKARTA II KOTA YOGYAKARTA</t>
  </si>
  <si>
    <t>308632</t>
  </si>
  <si>
    <t>MADRASAH ALIYAH NEGERI YOGYAKARTA II KOTA YOGYAKARTA</t>
  </si>
  <si>
    <t>308649</t>
  </si>
  <si>
    <t>308660</t>
  </si>
  <si>
    <t>MADRASAH ALIYAH NEGERI MAGUWO HARJO KAB. SLEMAN</t>
  </si>
  <si>
    <t>308674</t>
  </si>
  <si>
    <t>MADRASAH TSANAWIYAH NEGERI PAKEM KAB. SLEMAN</t>
  </si>
  <si>
    <t>308681</t>
  </si>
  <si>
    <t>MADRASAH ALIYAH NEGERI GANDEKAN KAB. BANTUL</t>
  </si>
  <si>
    <t>308700</t>
  </si>
  <si>
    <t>MADRASAH TSANAWIYAH NEGERI WONOKROMO KAB. BANTUL</t>
  </si>
  <si>
    <t>308717</t>
  </si>
  <si>
    <t>MADRASAH ALIYAH NEGERI WONOKROMO KAB. BANTUL</t>
  </si>
  <si>
    <t>417597</t>
  </si>
  <si>
    <t>417611</t>
  </si>
  <si>
    <t>417615</t>
  </si>
  <si>
    <t>417621</t>
  </si>
  <si>
    <t>MADRASAH ALIYAH NEGERI YOGYAKARTA I KOTA YOGYAKARTA</t>
  </si>
  <si>
    <t>417632</t>
  </si>
  <si>
    <t>417646</t>
  </si>
  <si>
    <t>MADRASAH TSANAWIYAH NEGERI SAYEGAN KAB. SLEMAN</t>
  </si>
  <si>
    <t>417652</t>
  </si>
  <si>
    <t>MADRASAH TSANAWIYAH NEGERI TEMPEL KAB. SLEMAN</t>
  </si>
  <si>
    <t>417661</t>
  </si>
  <si>
    <t>MADRASAH TSANAWIYAH NEGERI NGEMPLAK KAB. SLEMAN</t>
  </si>
  <si>
    <t>417677</t>
  </si>
  <si>
    <t>MADRASAH ALIYAH NEGERI PAKEM KAB. SLEMAN</t>
  </si>
  <si>
    <t>417685</t>
  </si>
  <si>
    <t>417692</t>
  </si>
  <si>
    <t>MADRASAH TSANAWIYAH NEGERI GIRILOYO KAB. BANTUL</t>
  </si>
  <si>
    <t>417703</t>
  </si>
  <si>
    <t>MADRASAH TSANAWIYAH NEGERI SUMBER AGUNG KAB. BANTUL</t>
  </si>
  <si>
    <t>417712</t>
  </si>
  <si>
    <t>MADRASAH TSANAWIYAH NEGERI GONDOWULUNG KAB. BANTUL</t>
  </si>
  <si>
    <t>417728</t>
  </si>
  <si>
    <t>MADRASAH ALIYAH NEGERI SABDODADI KAB. BANTUL</t>
  </si>
  <si>
    <t>423755</t>
  </si>
  <si>
    <t>UNIVERSITAS ISLAM NEGERI SUNAN KALIJAGA YOGYAKARTA</t>
  </si>
  <si>
    <t>424483</t>
  </si>
  <si>
    <t>MADRASAH TSANAWIYAH NEGERI PIYUNGAN KAB. BANTUL</t>
  </si>
  <si>
    <t>424492</t>
  </si>
  <si>
    <t>MADRASAH TSANAWIYAH NEGERI PUNDONG KAB. BANTUL</t>
  </si>
  <si>
    <t>424503</t>
  </si>
  <si>
    <t>MADRASAH TSANAWIYAH NEGERI BANTUL KOTA KAB. BANTUL</t>
  </si>
  <si>
    <t>424512</t>
  </si>
  <si>
    <t>MADRASAH TSANAWIYAH NEGERI GODEAN KAB. SLEMAN</t>
  </si>
  <si>
    <t>424528</t>
  </si>
  <si>
    <t>MADRASAH TSANAWIYAH NEGERI SLEMAN KOTA KAB. SLEMAN</t>
  </si>
  <si>
    <t>424534</t>
  </si>
  <si>
    <t>MADRASAH TSANAWIYAH NEGERI PRAMBANAN KAB. SLEMAN</t>
  </si>
  <si>
    <t>425642</t>
  </si>
  <si>
    <t>MADRASAH TSANAWIYAH NEGERI SLEMAN KAB. SLEMAN</t>
  </si>
  <si>
    <t>425658</t>
  </si>
  <si>
    <t>MADRASAH ALIYAH NEGERI GODEAN KAB. SLEMAN</t>
  </si>
  <si>
    <t>553387</t>
  </si>
  <si>
    <t>MADRASAH TSANAWIYAH NEGERI BABADAN BARU KAB. SLEMAN</t>
  </si>
  <si>
    <t>596912</t>
  </si>
  <si>
    <t>MADRASAH IBTIDAIYAH NEGERI YOGYAKARTA I KAB.SLEMAN</t>
  </si>
  <si>
    <t>596926</t>
  </si>
  <si>
    <t>MADRASAH IBTIDAIYAH NEGERI TEMPEL KAB.SLEMAN</t>
  </si>
  <si>
    <t>597061</t>
  </si>
  <si>
    <t>MADRASAH IBTIDAIYAH NEGERI KEBONAGUNG KAB.BANTUL</t>
  </si>
  <si>
    <t>597075</t>
  </si>
  <si>
    <t>MADRASAH IBTIDAIYAH NEGERI JEJERAN KAB.BANTUL</t>
  </si>
  <si>
    <t>597082</t>
  </si>
  <si>
    <t>MADRASAH IBTIDAIYAH NEGERI YOGYAKARTA II KOTA YOGYAKARTA</t>
  </si>
  <si>
    <t>598499</t>
  </si>
  <si>
    <t>598504</t>
  </si>
  <si>
    <t>660532</t>
  </si>
  <si>
    <t>674678</t>
  </si>
  <si>
    <t>675247</t>
  </si>
  <si>
    <t>417598</t>
  </si>
  <si>
    <t>417612</t>
  </si>
  <si>
    <t>417633</t>
  </si>
  <si>
    <t>417686</t>
  </si>
  <si>
    <t>417599</t>
  </si>
  <si>
    <t>417613</t>
  </si>
  <si>
    <t>417634</t>
  </si>
  <si>
    <t>417687</t>
  </si>
  <si>
    <t>417600</t>
  </si>
  <si>
    <t>417614</t>
  </si>
  <si>
    <t>417635</t>
  </si>
  <si>
    <t>417688</t>
  </si>
  <si>
    <t>417601</t>
  </si>
  <si>
    <t>417616</t>
  </si>
  <si>
    <t>417636</t>
  </si>
  <si>
    <t>417689</t>
  </si>
  <si>
    <t>417602</t>
  </si>
  <si>
    <t>417617</t>
  </si>
  <si>
    <t>417637</t>
  </si>
  <si>
    <t>417690</t>
  </si>
  <si>
    <t>049055</t>
  </si>
  <si>
    <t>DINAS TENAGA KERJA DAN TRANSMIGRASI PROVINSI YOGYAKARTA</t>
  </si>
  <si>
    <t>049139</t>
  </si>
  <si>
    <t>DINAS TENAGA KERJA DAN TRANSMIGRASI KABUPATEN BANTUL</t>
  </si>
  <si>
    <t>049154</t>
  </si>
  <si>
    <t>049009</t>
  </si>
  <si>
    <t>049010</t>
  </si>
  <si>
    <t>049011</t>
  </si>
  <si>
    <t>049012</t>
  </si>
  <si>
    <t>049013</t>
  </si>
  <si>
    <t>522625</t>
  </si>
  <si>
    <t>040025</t>
  </si>
  <si>
    <t>DINAS SOSIAL PROVINSI D.I. YOGYAKARTA</t>
  </si>
  <si>
    <t>049014</t>
  </si>
  <si>
    <t>049015</t>
  </si>
  <si>
    <t>049016</t>
  </si>
  <si>
    <t>369180</t>
  </si>
  <si>
    <t>BALAI BESAR PENDIDIKAN DAN PELATIHAN KESEJAHTERAAN SOSIAL (BBPPKS) YOGYAKARTA</t>
  </si>
  <si>
    <t>369202</t>
  </si>
  <si>
    <t>BALAI BESAR PENELITIAN DAN PENGEMBANGAN PELAYANAN KESEJAHTERAAN SOSIAL (B2P3KS) YOGYAKARTA</t>
  </si>
  <si>
    <t>427180</t>
  </si>
  <si>
    <t>BALAI PENGELOLAAN DAS SERAYU OPAK PROGO</t>
  </si>
  <si>
    <t>574316</t>
  </si>
  <si>
    <t>BALAI TAMAN NASIONAL GUNUNG MERAPI</t>
  </si>
  <si>
    <t>613150</t>
  </si>
  <si>
    <t>BALAI KONSERVASI SUMBER DAYA ALAM D.I YOGYAKARTA</t>
  </si>
  <si>
    <t>649877</t>
  </si>
  <si>
    <t>BALAI PEMANTAPAN KAWASAN HUTAN WILAYAH XI D.I YOGYAKARTA</t>
  </si>
  <si>
    <t>568352</t>
  </si>
  <si>
    <t>BALAI BESAR PENELITIAN BIOTEKNOLOGI DAN PEMULIAAN TANAMAN HUTAN YOGYAKARTA</t>
  </si>
  <si>
    <t>040093</t>
  </si>
  <si>
    <t>DINAS KELAUTAN DAN PERIKANAN PROVINSI YOGYAKARTA</t>
  </si>
  <si>
    <t>049031</t>
  </si>
  <si>
    <t>049032</t>
  </si>
  <si>
    <t>049033</t>
  </si>
  <si>
    <t>049034</t>
  </si>
  <si>
    <t>049035</t>
  </si>
  <si>
    <t>660055</t>
  </si>
  <si>
    <t>LOKA PENELITIAN DAN PENGEMBANGAN MEKANISASI PENGOLAHAN HASIL PERIKANAN</t>
  </si>
  <si>
    <t>040026</t>
  </si>
  <si>
    <t>BADAN KETAHANAN PANGAN DAN PENYULUHAN PROVINSI DIY</t>
  </si>
  <si>
    <t>649725</t>
  </si>
  <si>
    <t>STASIUN KARANTINA IKAN, PENGENDALIAN MUTU DAN KEAMANAN HASIL PERIKANAN KELAS I YOGYAKARTA</t>
  </si>
  <si>
    <t>279064</t>
  </si>
  <si>
    <t>049060</t>
  </si>
  <si>
    <t>049029</t>
  </si>
  <si>
    <t>485361</t>
  </si>
  <si>
    <t>498622</t>
  </si>
  <si>
    <t>486454</t>
  </si>
  <si>
    <t>493580</t>
  </si>
  <si>
    <t>PENATAAN BANGUNAN DAN LINGKUNGAN DI. YOGYAKARTA</t>
  </si>
  <si>
    <t>495741</t>
  </si>
  <si>
    <t>495750</t>
  </si>
  <si>
    <t>PENGEMBANGAN PENYEHATAN LINGKUNGAN PERMUKIMAN D.I. YOGYAKARTA</t>
  </si>
  <si>
    <t>503155</t>
  </si>
  <si>
    <t>503170</t>
  </si>
  <si>
    <t>503186</t>
  </si>
  <si>
    <t>505101</t>
  </si>
  <si>
    <t>PERENCANAAAN DAN PENGENDALIAN PROGRAM INFRASTRUKTUR PERMUKIMAN PROVINSI DI YOGYAKARTA</t>
  </si>
  <si>
    <t>049136</t>
  </si>
  <si>
    <t>498171</t>
  </si>
  <si>
    <t>SNVT PELAKSANAAN JARINGAN SUMBER AIR SERAYU-OPAK</t>
  </si>
  <si>
    <t>498177</t>
  </si>
  <si>
    <t>633863</t>
  </si>
  <si>
    <t>BALAI BESAR WILAYAH SUNGAI SERAYU-OPAK</t>
  </si>
  <si>
    <t>279860</t>
  </si>
  <si>
    <t>636811</t>
  </si>
  <si>
    <t>648210</t>
  </si>
  <si>
    <t>040251</t>
  </si>
  <si>
    <t>DINAS KEBUDAYAAN DAN PARIWISATA KAB. SLEMAN</t>
  </si>
  <si>
    <t>049056</t>
  </si>
  <si>
    <t>DINAS PARIWISATA PROVINSI D. I. YOGYAKARTA</t>
  </si>
  <si>
    <t>049017</t>
  </si>
  <si>
    <t>040037</t>
  </si>
  <si>
    <t>040096</t>
  </si>
  <si>
    <t>BADAN LINGKUNGAN HIDUP (BLH) PROVINSI DAERAH ISTIMEWA YOGYAKARTA (DIY)</t>
  </si>
  <si>
    <t>666184</t>
  </si>
  <si>
    <t>PUSAT PENGELOLAAN EKOREGION JAWA</t>
  </si>
  <si>
    <t>040063</t>
  </si>
  <si>
    <t>019209</t>
  </si>
  <si>
    <t>BADAN PUSAT STATISTIK PROP. D.I. YOGYAKARTA</t>
  </si>
  <si>
    <t>019213</t>
  </si>
  <si>
    <t>BADAN PUSAT STATISTIK KAB. SLEMAN</t>
  </si>
  <si>
    <t>019241</t>
  </si>
  <si>
    <t>BADAN PUSAT STATISTIK KAB. BANTUL</t>
  </si>
  <si>
    <t>019255</t>
  </si>
  <si>
    <t>BADAN PUSAT STATISTIK KOTA YOGYAKARTA</t>
  </si>
  <si>
    <t>040069</t>
  </si>
  <si>
    <t>506141</t>
  </si>
  <si>
    <t>KANTOR WILAYAH BADAN PERTANAHAN NASIONAL PROP. DI YOGYAKARTA</t>
  </si>
  <si>
    <t>506322</t>
  </si>
  <si>
    <t>KANTOR PERTANAHAN KOTA YOGYAKARTA</t>
  </si>
  <si>
    <t>506336</t>
  </si>
  <si>
    <t>KANTOR PERTANAHAN KAB. SLEMAN</t>
  </si>
  <si>
    <t>506357</t>
  </si>
  <si>
    <t>KANTOR PERTANAHAN KAB. BANTUL</t>
  </si>
  <si>
    <t>524465</t>
  </si>
  <si>
    <t>SEKOLAH TINGGI PERTANAHAN NASIONAL YOGYAKARTA</t>
  </si>
  <si>
    <t>040082</t>
  </si>
  <si>
    <t>BADAN PERPUSTAKAAN DAN ARSIP DAERAH PROVINSI D.I. YOGYAKARTA</t>
  </si>
  <si>
    <t>613462</t>
  </si>
  <si>
    <t>BALAI MONITOR SPEKTRUM FREKUENSI RADIO KELAS II YOGYAKARTA</t>
  </si>
  <si>
    <t>432665</t>
  </si>
  <si>
    <t>BALAI PENGKAJIAN DAN PENGEMBANGAN KOMUNIKASI DAN INFORMATIKA YOGYAKARTA</t>
  </si>
  <si>
    <t>432722</t>
  </si>
  <si>
    <t>SEKOLAH TINGGI MULTI MEDIA (MMTC) YOGYAKARTA</t>
  </si>
  <si>
    <t>643674</t>
  </si>
  <si>
    <t>SPRIPIM POLDA DIY</t>
  </si>
  <si>
    <t>643681</t>
  </si>
  <si>
    <t>ROOPS POLDA DIY</t>
  </si>
  <si>
    <t>643695</t>
  </si>
  <si>
    <t>YANMA POLDA DIY</t>
  </si>
  <si>
    <t>643700</t>
  </si>
  <si>
    <t>DITINTELKAM POLDA DIY</t>
  </si>
  <si>
    <t>643717</t>
  </si>
  <si>
    <t>DITRESKRIMUM POLDA DIY</t>
  </si>
  <si>
    <t>643721</t>
  </si>
  <si>
    <t>DITSABHARA POLDA DIY</t>
  </si>
  <si>
    <t>643738</t>
  </si>
  <si>
    <t>DITLANTAS POLDA DIY</t>
  </si>
  <si>
    <t>643759</t>
  </si>
  <si>
    <t>RO SDM POLDA DIY</t>
  </si>
  <si>
    <t>643770</t>
  </si>
  <si>
    <t>SPN POLDA DIY</t>
  </si>
  <si>
    <t>643784</t>
  </si>
  <si>
    <t>ROSARPRAS POLDA DIY</t>
  </si>
  <si>
    <t>643791</t>
  </si>
  <si>
    <t>SATBRIMOB POLDA DIY</t>
  </si>
  <si>
    <t>643806</t>
  </si>
  <si>
    <t>DITPOLAIR POLDA DIY</t>
  </si>
  <si>
    <t>643810</t>
  </si>
  <si>
    <t>BIDKEU POLDA DIY</t>
  </si>
  <si>
    <t>643827</t>
  </si>
  <si>
    <t>BIDDOKKES POLDA DIY</t>
  </si>
  <si>
    <t>643831</t>
  </si>
  <si>
    <t>POLRESTA YOGYAKARTA</t>
  </si>
  <si>
    <t>643848</t>
  </si>
  <si>
    <t>POLRES BANTUL</t>
  </si>
  <si>
    <t>643873</t>
  </si>
  <si>
    <t>POLRES SLEMAN</t>
  </si>
  <si>
    <t>651071</t>
  </si>
  <si>
    <t>BIDPROPAM POLDA DIY</t>
  </si>
  <si>
    <t>651088</t>
  </si>
  <si>
    <t>BID TI POLDA DIY</t>
  </si>
  <si>
    <t>651100</t>
  </si>
  <si>
    <t>DITPAMOBVIT POLDA DIY</t>
  </si>
  <si>
    <t>669165</t>
  </si>
  <si>
    <t>DITRESNARKOBA POLDA D.I.Y</t>
  </si>
  <si>
    <t>678583</t>
  </si>
  <si>
    <t>ITWASDA POLDA DIY</t>
  </si>
  <si>
    <t>678590</t>
  </si>
  <si>
    <t>RORENA POLDA DIY</t>
  </si>
  <si>
    <t>678605</t>
  </si>
  <si>
    <t>DITBINMAS POLDA DIY</t>
  </si>
  <si>
    <t>679592</t>
  </si>
  <si>
    <t>DITRESKRIMSUS POLDA YOGYAKARTA</t>
  </si>
  <si>
    <t>679986</t>
  </si>
  <si>
    <t>RUMKIT BHAYANGKARA YOGYAKARTA</t>
  </si>
  <si>
    <t>432778</t>
  </si>
  <si>
    <t>BALAI BESAR PENGAWAS OBAT DAN MAKANAN YOGYAKARTA</t>
  </si>
  <si>
    <t>049001</t>
  </si>
  <si>
    <t>BADAN KERJASAMA DAN PENANAMAN MODAL PROVINSI DAERAH ISTIMEWA YOGYAKARTA</t>
  </si>
  <si>
    <t>682494</t>
  </si>
  <si>
    <t>BADAN NARKOTIKA NASIONAL PROVINSI DAERAH ISTIMEWA YOGYAKARTA</t>
  </si>
  <si>
    <t>017972</t>
  </si>
  <si>
    <t>PERWAKILAN BADAN KEPENDUDUKAN DAN KELUARGA BERENCANA NASIONAL D.I. YOGYAKARTA</t>
  </si>
  <si>
    <t>663885</t>
  </si>
  <si>
    <t>654411</t>
  </si>
  <si>
    <t>657612</t>
  </si>
  <si>
    <t>657630</t>
  </si>
  <si>
    <t>657647</t>
  </si>
  <si>
    <t>017290</t>
  </si>
  <si>
    <t>524334</t>
  </si>
  <si>
    <t>SEKOLAH TINGGI TEKNOLOGI NUKLIR</t>
  </si>
  <si>
    <t>631080</t>
  </si>
  <si>
    <t>BALAI PENGKAJIAN DINAMIKA PANTAI YOGYAKARTA</t>
  </si>
  <si>
    <t>040018</t>
  </si>
  <si>
    <t>017241</t>
  </si>
  <si>
    <t>KANTOR REGIONAL I BADAN KEPEGAWAIAN NEGARA YOGYAKARTA</t>
  </si>
  <si>
    <t>450536</t>
  </si>
  <si>
    <t>PERWAKILAN BPKP D.I. YOGYAKARTA</t>
  </si>
  <si>
    <t>049057</t>
  </si>
  <si>
    <t>049019</t>
  </si>
  <si>
    <t>447775</t>
  </si>
  <si>
    <t>040060</t>
  </si>
  <si>
    <t>DINAS PENDIDIKAN, PEMUDA DAN OLAHRAGA PROVINSI D.I. YOGYAKARTA</t>
  </si>
  <si>
    <t>426370</t>
  </si>
  <si>
    <t>BALAI PELAYANAN PENEMPATAN DAN PERLINDUNGAN TENAGA KERJA INDONESIA (BP3TKI) YOGYAKARTA</t>
  </si>
  <si>
    <t>700172</t>
  </si>
  <si>
    <t>RRI YOGYAKARTA</t>
  </si>
  <si>
    <t>700213</t>
  </si>
  <si>
    <t>987361</t>
  </si>
  <si>
    <t>DIREKTORAT JENDERAL PERBENDAHARAAN</t>
  </si>
  <si>
    <t>kdba</t>
  </si>
  <si>
    <t>nmdept</t>
  </si>
  <si>
    <t>004</t>
  </si>
  <si>
    <t>BADAN PEMERIKSA KEUANGAN</t>
  </si>
  <si>
    <t>005</t>
  </si>
  <si>
    <t>MAHKAMAH AGUNG</t>
  </si>
  <si>
    <t>006</t>
  </si>
  <si>
    <t>KEJAKSAAN REPUBLIK INDONESIA</t>
  </si>
  <si>
    <t>007</t>
  </si>
  <si>
    <t>KEMENTERIAN SEKRETARIAT NEGARA</t>
  </si>
  <si>
    <t>010</t>
  </si>
  <si>
    <t>012</t>
  </si>
  <si>
    <t>KEMENTERIAN PERTAHANAN</t>
  </si>
  <si>
    <t>013</t>
  </si>
  <si>
    <t>KEMENTERIAN HUKUM DAN HAK ASASI MANUSIA RI</t>
  </si>
  <si>
    <t>KEMENTERIAN PERTANIAN</t>
  </si>
  <si>
    <t>019</t>
  </si>
  <si>
    <t>KEMENTERIAN PERINDUSTRIAN</t>
  </si>
  <si>
    <t>020</t>
  </si>
  <si>
    <t>KEMENTERIAN ENERGI DAN SUMBER DAYA MINERAL</t>
  </si>
  <si>
    <t>022</t>
  </si>
  <si>
    <t>KEMENTERIAN PERHUBUNGAN</t>
  </si>
  <si>
    <t>023</t>
  </si>
  <si>
    <t>024</t>
  </si>
  <si>
    <t>KEMENTERIAN KESEHATAN</t>
  </si>
  <si>
    <t>KEMENTERIAN AGAMA</t>
  </si>
  <si>
    <t>026</t>
  </si>
  <si>
    <t>027</t>
  </si>
  <si>
    <t>KEMENTERIAN SOSIAL</t>
  </si>
  <si>
    <t>029</t>
  </si>
  <si>
    <t>032</t>
  </si>
  <si>
    <t>KEMENTERIAN KELAUTAN DAN PERIKANAN</t>
  </si>
  <si>
    <t>033</t>
  </si>
  <si>
    <t>040</t>
  </si>
  <si>
    <t>043</t>
  </si>
  <si>
    <t>KEMENTERIAN LINGKUNGAN HIDUP</t>
  </si>
  <si>
    <t>044</t>
  </si>
  <si>
    <t>KEMENTERIAN KOPERASI DAN PENGUSAHA KECIL DAN MENENGAH</t>
  </si>
  <si>
    <t>054</t>
  </si>
  <si>
    <t>BADAN PUSAT STATISTIK</t>
  </si>
  <si>
    <t>055</t>
  </si>
  <si>
    <t>KEMENTERIAN PERENCANAAN PEMBANGUNAN NASIONAL</t>
  </si>
  <si>
    <t>056</t>
  </si>
  <si>
    <t>057</t>
  </si>
  <si>
    <t>PERPUSTAKAAN NASIONAL REPUBLIK INDONESIA</t>
  </si>
  <si>
    <t>059</t>
  </si>
  <si>
    <t>KEMENTERIAN KOMUNIKASI DAN INFORMATIKA</t>
  </si>
  <si>
    <t>060</t>
  </si>
  <si>
    <t>KEPOLISIAN NEGARA REPUBLIK INDONESIA</t>
  </si>
  <si>
    <t>063</t>
  </si>
  <si>
    <t>BADAN PENGAWAS OBAT DAN MAKANAN</t>
  </si>
  <si>
    <t>065</t>
  </si>
  <si>
    <t>BADAN KOORDINASI PENANAMAN MODAL</t>
  </si>
  <si>
    <t>066</t>
  </si>
  <si>
    <t>BADAN NARKOTIKA NASIONAL</t>
  </si>
  <si>
    <t>068</t>
  </si>
  <si>
    <t>BADAN KEPENDUDUKAN DAN KELUARGA BERENCANA NASIONAL</t>
  </si>
  <si>
    <t>075</t>
  </si>
  <si>
    <t>BADAN METEOROLOGI, KLIMATOLOGI DAN GEOFISIKA</t>
  </si>
  <si>
    <t>076</t>
  </si>
  <si>
    <t>KOMISI PEMILIHAN UMUM</t>
  </si>
  <si>
    <t>080</t>
  </si>
  <si>
    <t>BADAN TENAGA NUKLIR NASIONAL</t>
  </si>
  <si>
    <t>081</t>
  </si>
  <si>
    <t>BADAN PENGKAJIAN DAN PENERAPAN TEKNOLOGI</t>
  </si>
  <si>
    <t>087</t>
  </si>
  <si>
    <t>ARSIP NASIONAL REPUBLIK INDONESIA</t>
  </si>
  <si>
    <t>088</t>
  </si>
  <si>
    <t>BADAN KEPEGAWAIAN NEGARA</t>
  </si>
  <si>
    <t>089</t>
  </si>
  <si>
    <t>090</t>
  </si>
  <si>
    <t>KEMENTERIAN PERDAGANGAN</t>
  </si>
  <si>
    <t>092</t>
  </si>
  <si>
    <t>KEMENTERIAN PEMUDA DAN OLAH RAGA</t>
  </si>
  <si>
    <t>104</t>
  </si>
  <si>
    <t>BADAN NASIONAL PENEMPATAN DAN PERLINDUNGAN TENAGA KERJA INDONESIA</t>
  </si>
  <si>
    <t>116</t>
  </si>
  <si>
    <t>LEMBAGA PENYIARAN PUBLIK RADIO REPUBLIK INDONESIA</t>
  </si>
  <si>
    <t>117</t>
  </si>
  <si>
    <t>LEMBAGA PENYIARAN PUBLIK TELEVISI REPUBLIK INDONESIA</t>
  </si>
  <si>
    <t>999</t>
  </si>
  <si>
    <t>BENDAHARA UMUM NEGARA</t>
  </si>
  <si>
    <t>kppn</t>
  </si>
  <si>
    <t>149</t>
  </si>
  <si>
    <t>KPPN WONOSARI</t>
  </si>
  <si>
    <t>Jenis Kewenangan</t>
  </si>
  <si>
    <t xml:space="preserve">TP </t>
  </si>
  <si>
    <t>KANTOR PUSAT</t>
  </si>
  <si>
    <t>KANTOR DAERAH</t>
  </si>
  <si>
    <t>DEKONSENTRASI</t>
  </si>
  <si>
    <t>TUGAS PEMBANTUAN</t>
  </si>
  <si>
    <t>URUSAN BERSAMA</t>
  </si>
  <si>
    <t>511238</t>
  </si>
  <si>
    <t>PIUTANG JANGKA PANJANG</t>
  </si>
  <si>
    <t>JUMLAH PIUTANG JANGKA PANJANG</t>
  </si>
  <si>
    <t>SEKRETARIAT JENDERAL</t>
  </si>
  <si>
    <t>DITJEN BINA PEMBANGUNAN DAERAH</t>
  </si>
  <si>
    <t>BADAN PENELITIAN DAN PENGEMBANGAN</t>
  </si>
  <si>
    <t>DITJEN PAJAK</t>
  </si>
  <si>
    <t>DITJEN BEA DAN CUKAI</t>
  </si>
  <si>
    <t>DITJEN PERBENDAHARAAN</t>
  </si>
  <si>
    <t>BADAN PENDIDIKAN DAN PELATIHAN KEUANGAN</t>
  </si>
  <si>
    <t>DITJEN TANAMAN PANGAN</t>
  </si>
  <si>
    <t>DITJEN PERKEBUNAN</t>
  </si>
  <si>
    <t>BADAN KETAHANAN PANGAN</t>
  </si>
  <si>
    <t>BADAN KARANTINA PERTANIAN</t>
  </si>
  <si>
    <t>DITJEN PERHUBUNGAN DARAT</t>
  </si>
  <si>
    <t>DITJEN PENDIDIKAN TINGGI</t>
  </si>
  <si>
    <t>DITJEN PENGENDALIAAN PENYAKIT DAN PENYEHATAN LINGKUNGAN</t>
  </si>
  <si>
    <t>DITJEN BIMBINGAN MASYARAKAT ISLAM</t>
  </si>
  <si>
    <t>DITJEN PENDIDIKAN ISLAM</t>
  </si>
  <si>
    <t>DITJEN BIMBINGAN MASYARAKAT KRISTEN</t>
  </si>
  <si>
    <t>DITJEN BIMBINGAN MASYARAKAT HINDU</t>
  </si>
  <si>
    <t>DITJEN PERIKANAN TANGKAP</t>
  </si>
  <si>
    <t>DITJEN PERIKANAN BUDIDAYA</t>
  </si>
  <si>
    <t>DITJEN PENGOLAHAN DAN PEMASARAN HASIL PERIKANAN (P2HP)</t>
  </si>
  <si>
    <t>DITJEN KELAUTAN, PESISIR DAN PULAU-PULAU KECIL (KP3K)</t>
  </si>
  <si>
    <t>DITJEN PENATAAN RUANG</t>
  </si>
  <si>
    <t>DITJEN BINA MARGA</t>
  </si>
  <si>
    <t>DITJEN CIPTA KARYA</t>
  </si>
  <si>
    <t>DITJEN SUMBER DAYA AIR</t>
  </si>
  <si>
    <t>PERPUSTAKAAN NASIONAL</t>
  </si>
  <si>
    <t>DITJEN HORTIKULTURA</t>
  </si>
  <si>
    <t>DITJEN PENGOLAHAN DAN PEMASARAN HASIL PERTANIAN</t>
  </si>
  <si>
    <t>BADAN PENELITIAN DAN PENGEMBANGAN PERTANIAN</t>
  </si>
  <si>
    <t>BADAN PENGEMBANGAN DAN PEMBERDAYAAN SDM KESEHATAN</t>
  </si>
  <si>
    <t>BADAN PENDIDIKAN DAN PENELITIAN KESEJAHTERAAN SOSIAL</t>
  </si>
  <si>
    <t>DITJEN BINA KEFARMASIAN DAN ALAT KESEHATAN</t>
  </si>
  <si>
    <t>ARSIP NASIONAL</t>
  </si>
  <si>
    <t>BADAN PENGAWASAN KEUANGAN DAN PEMBANGUNAN</t>
  </si>
  <si>
    <t>BADAN PENELITIAN DAN PENGEMBANGAN SUMBER DAYA MANUSIA</t>
  </si>
  <si>
    <t>DIREKTORAT JENDERAL PENGEMBANGAN DESTINASI PARIWISATA</t>
  </si>
  <si>
    <t>DIREKTORAT JENDERAL PEMASARAN</t>
  </si>
  <si>
    <t>DIREKTORAT JENDERAL PERDAGANGAN DALAM NEGERI</t>
  </si>
  <si>
    <t>DIREKTORAT JENDERAL PERDAGANGAN LUAR NEGERI</t>
  </si>
  <si>
    <t>DIREKTORAT JENDERAL INDUSTRI KECIL DAN MENENGAH</t>
  </si>
  <si>
    <t>BADAN GEOLOGI</t>
  </si>
  <si>
    <t>DIREKTORAT JENDERAL PERKERETAAPIAN</t>
  </si>
  <si>
    <t>DIREKTORAT JENDERAL BADAN PERADILAN UMUM</t>
  </si>
  <si>
    <t>DIREKTORAT JENDERAL BADAN PERADILAN AGAMA</t>
  </si>
  <si>
    <t>MARKAS BESAR TNI AD</t>
  </si>
  <si>
    <t>MARKAS BESAR TNI AU</t>
  </si>
  <si>
    <t>DITJEN KEKAYAAN NEGARA</t>
  </si>
  <si>
    <t>BADAN PENGEMBANGAN SDM KELAUTAN DAN PERIKANAN</t>
  </si>
  <si>
    <t>DITJEN BIMBINGAN MASYARAKAT BUDDHA</t>
  </si>
  <si>
    <t>DITJEN PENYELENGGARAAN HAJI DAN UMRAH</t>
  </si>
  <si>
    <t>SEKRETARIAT UTAMA BNP2TKI</t>
  </si>
  <si>
    <t>DITJEN KEBUDAYAAN</t>
  </si>
  <si>
    <t>004.01</t>
  </si>
  <si>
    <t>004.02</t>
  </si>
  <si>
    <t>005.01</t>
  </si>
  <si>
    <t>005.03</t>
  </si>
  <si>
    <t>005.04</t>
  </si>
  <si>
    <t>005.05</t>
  </si>
  <si>
    <t>006.01</t>
  </si>
  <si>
    <t>007.03</t>
  </si>
  <si>
    <t>010.02</t>
  </si>
  <si>
    <t>010.03</t>
  </si>
  <si>
    <t>010.04</t>
  </si>
  <si>
    <t>010.05</t>
  </si>
  <si>
    <t>010.06</t>
  </si>
  <si>
    <t>010.07</t>
  </si>
  <si>
    <t>010.08</t>
  </si>
  <si>
    <t>010.12</t>
  </si>
  <si>
    <t>012.22</t>
  </si>
  <si>
    <t>012.24</t>
  </si>
  <si>
    <t>013.01</t>
  </si>
  <si>
    <t>015.01</t>
  </si>
  <si>
    <t>015.04</t>
  </si>
  <si>
    <t>015.05</t>
  </si>
  <si>
    <t>015.08</t>
  </si>
  <si>
    <t>015.09</t>
  </si>
  <si>
    <t>015.11</t>
  </si>
  <si>
    <t>018.03</t>
  </si>
  <si>
    <t>018.04</t>
  </si>
  <si>
    <t>018.05</t>
  </si>
  <si>
    <t>018.06</t>
  </si>
  <si>
    <t>018.07</t>
  </si>
  <si>
    <t>018.08</t>
  </si>
  <si>
    <t>018.09</t>
  </si>
  <si>
    <t>018.10</t>
  </si>
  <si>
    <t>018.11</t>
  </si>
  <si>
    <t>018.12</t>
  </si>
  <si>
    <t>019.01</t>
  </si>
  <si>
    <t>019.05</t>
  </si>
  <si>
    <t>019.07</t>
  </si>
  <si>
    <t>020.01</t>
  </si>
  <si>
    <t>020.13</t>
  </si>
  <si>
    <t>022.03</t>
  </si>
  <si>
    <t>022.08</t>
  </si>
  <si>
    <t>023.01</t>
  </si>
  <si>
    <t>023.03</t>
  </si>
  <si>
    <t>023.04</t>
  </si>
  <si>
    <t>023.05</t>
  </si>
  <si>
    <t>023.15</t>
  </si>
  <si>
    <t>024.01</t>
  </si>
  <si>
    <t>024.03</t>
  </si>
  <si>
    <t>024.04</t>
  </si>
  <si>
    <t>024.05</t>
  </si>
  <si>
    <t>024.07</t>
  </si>
  <si>
    <t>024.12</t>
  </si>
  <si>
    <t>025.01</t>
  </si>
  <si>
    <t>025.03</t>
  </si>
  <si>
    <t>025.04</t>
  </si>
  <si>
    <t>025.05</t>
  </si>
  <si>
    <t>025.06</t>
  </si>
  <si>
    <t>025.07</t>
  </si>
  <si>
    <t>025.08</t>
  </si>
  <si>
    <t>025.09</t>
  </si>
  <si>
    <t>026.04</t>
  </si>
  <si>
    <t>026.05</t>
  </si>
  <si>
    <t>026.06</t>
  </si>
  <si>
    <t>026.07</t>
  </si>
  <si>
    <t>026.08</t>
  </si>
  <si>
    <t>026.13</t>
  </si>
  <si>
    <t>027.01</t>
  </si>
  <si>
    <t>027.03</t>
  </si>
  <si>
    <t>027.04</t>
  </si>
  <si>
    <t>027.05</t>
  </si>
  <si>
    <t>027.11</t>
  </si>
  <si>
    <t>029.04</t>
  </si>
  <si>
    <t>029.05</t>
  </si>
  <si>
    <t>029.06</t>
  </si>
  <si>
    <t>029.07</t>
  </si>
  <si>
    <t>032.01</t>
  </si>
  <si>
    <t>032.03</t>
  </si>
  <si>
    <t>032.04</t>
  </si>
  <si>
    <t>032.05</t>
  </si>
  <si>
    <t>032.06</t>
  </si>
  <si>
    <t>032.07</t>
  </si>
  <si>
    <t>032.11</t>
  </si>
  <si>
    <t>032.12</t>
  </si>
  <si>
    <t>033.03</t>
  </si>
  <si>
    <t>033.04</t>
  </si>
  <si>
    <t>033.05</t>
  </si>
  <si>
    <t>033.06</t>
  </si>
  <si>
    <t>033.11</t>
  </si>
  <si>
    <t>033.13</t>
  </si>
  <si>
    <t>040.05</t>
  </si>
  <si>
    <t>040.06</t>
  </si>
  <si>
    <t>043.01</t>
  </si>
  <si>
    <t>044.01</t>
  </si>
  <si>
    <t>054.01</t>
  </si>
  <si>
    <t>055.01</t>
  </si>
  <si>
    <t>056.01</t>
  </si>
  <si>
    <t>057.01</t>
  </si>
  <si>
    <t>059.03</t>
  </si>
  <si>
    <t>059.06</t>
  </si>
  <si>
    <t>060.01</t>
  </si>
  <si>
    <t>063.01</t>
  </si>
  <si>
    <t>065.01</t>
  </si>
  <si>
    <t>066.01</t>
  </si>
  <si>
    <t>068.01</t>
  </si>
  <si>
    <t>075.01</t>
  </si>
  <si>
    <t>076.01</t>
  </si>
  <si>
    <t>080.01</t>
  </si>
  <si>
    <t>087.01</t>
  </si>
  <si>
    <t>088.01</t>
  </si>
  <si>
    <t>089.01</t>
  </si>
  <si>
    <t>090.02</t>
  </si>
  <si>
    <t>090.03</t>
  </si>
  <si>
    <t>092.01</t>
  </si>
  <si>
    <t>104.01</t>
  </si>
  <si>
    <t>116.01</t>
  </si>
  <si>
    <t>117.01</t>
  </si>
  <si>
    <t>999.08</t>
  </si>
  <si>
    <t xml:space="preserve">Belanja Barang Penunjang Kegiatan Dekonsentrasi dan Tugas Pembantuan </t>
  </si>
  <si>
    <t xml:space="preserve">Belanja Barang Fisik Lain Tugas Pembantuan  </t>
  </si>
  <si>
    <t xml:space="preserve">Belanja Barang BLU  </t>
  </si>
  <si>
    <t xml:space="preserve">Belanja Barang untuk diserahkan kepada masyarakat/Pemda  </t>
  </si>
  <si>
    <t>BELANJA MODAL</t>
  </si>
  <si>
    <t>Jumlah Bruto</t>
  </si>
  <si>
    <t>Jumlah Netto</t>
  </si>
  <si>
    <t>P1</t>
  </si>
  <si>
    <t>Belanja Lembur</t>
  </si>
  <si>
    <t>Belanja Gaji dan Tunjangan PNS</t>
  </si>
  <si>
    <t>Belanja Gaji dan Tunjangan TNI/Polri</t>
  </si>
  <si>
    <t>Belanja Gaji dan Tunjangan Pejabat Negara</t>
  </si>
  <si>
    <t>Belanja Gaji Pokok Peg. Non PNS</t>
  </si>
  <si>
    <t>P2</t>
  </si>
  <si>
    <t>P3</t>
  </si>
  <si>
    <t>P4</t>
  </si>
  <si>
    <t>P5</t>
  </si>
  <si>
    <t>P6</t>
  </si>
  <si>
    <t>P7</t>
  </si>
  <si>
    <t>P8</t>
  </si>
  <si>
    <t>Tetap</t>
  </si>
  <si>
    <t>BELANJA PEGAWAI</t>
  </si>
  <si>
    <t>BELANJA BARANG</t>
  </si>
  <si>
    <t>g</t>
  </si>
  <si>
    <t>TELEPON</t>
  </si>
  <si>
    <t>FAXIMILE</t>
  </si>
  <si>
    <t>i</t>
  </si>
  <si>
    <t>Untuk Tanah, Isikan alasan di kotak ini:</t>
  </si>
  <si>
    <t>Naik / Turun</t>
  </si>
  <si>
    <t xml:space="preserve">Lakukan Setting awal pada Laptop / Komputer dengan masuk ke menu control panel --&gt; clock, language and Region --&gt; Format dan Lokasi di ganti "Indonesia" </t>
  </si>
  <si>
    <t>Sheet selain Data Input tidak dikunci, untuk memudahkan mengatur halaman</t>
  </si>
  <si>
    <t>Tabel 30</t>
  </si>
  <si>
    <t>Barang Konsumsi</t>
  </si>
  <si>
    <t>Suku Cadang</t>
  </si>
  <si>
    <t>Persediaan Lainnya</t>
  </si>
  <si>
    <t>033.01</t>
  </si>
  <si>
    <t>023.14</t>
  </si>
  <si>
    <t>Akumulasi Penyusutan</t>
  </si>
  <si>
    <t>Kenaikan / Penurunan</t>
  </si>
  <si>
    <t>Belanja Honorarium</t>
  </si>
  <si>
    <t>Belanja Tunjangan Khusus &amp; Pegawai Transito</t>
  </si>
  <si>
    <t>DITJEN BINA GIZI DAN KESEHATAN IBU DAN ANAK</t>
  </si>
  <si>
    <t>Kelompok Aset Tetap</t>
  </si>
  <si>
    <t>Masa Manfaat</t>
  </si>
  <si>
    <t>2 s.d. 20 tahun</t>
  </si>
  <si>
    <t>10 s.d. 50 tahun</t>
  </si>
  <si>
    <t>4 tahun</t>
  </si>
  <si>
    <t>NAMA KUASA PENGGUNA ANGGARAN (KPA)</t>
  </si>
  <si>
    <t>NIP KPA</t>
  </si>
  <si>
    <t>TANGGAL  PELAPORAN</t>
  </si>
  <si>
    <t xml:space="preserve">TAHUN ANGGARAN </t>
  </si>
  <si>
    <t>TAHUN PEMBANDING</t>
  </si>
  <si>
    <t>Jumlah Pendapatan</t>
  </si>
  <si>
    <t>Jenis Pendapatan per Kelompok Akun (4 Digit)</t>
  </si>
  <si>
    <t>REKAPITULASI BELANJA PEGAWAI</t>
  </si>
  <si>
    <t>REKAPITULASI BELANJA BARANG</t>
  </si>
  <si>
    <t>REKAPITULASI BELANJA MODAL</t>
  </si>
  <si>
    <t>BELANJA BUNGA UTANG  (54XXXX)</t>
  </si>
  <si>
    <t>BELANJA BANTUAN SOSIAL</t>
  </si>
  <si>
    <t>115</t>
  </si>
  <si>
    <t>344249</t>
  </si>
  <si>
    <t>344800</t>
  </si>
  <si>
    <t>344809</t>
  </si>
  <si>
    <t>344858</t>
  </si>
  <si>
    <t>686332</t>
  </si>
  <si>
    <t>023.12</t>
  </si>
  <si>
    <t>023.13</t>
  </si>
  <si>
    <t>032.13</t>
  </si>
  <si>
    <t>040.11</t>
  </si>
  <si>
    <t>081.01</t>
  </si>
  <si>
    <t>090.09</t>
  </si>
  <si>
    <t>115.01</t>
  </si>
  <si>
    <t>DITJEN PENDIDIKAN MENENGAH</t>
  </si>
  <si>
    <t>BADAN PENGEMBANGAN DAN PEMBINAAN BAHASA</t>
  </si>
  <si>
    <t>BADAN KARANTINA IKAN, PENGENDALIAN MUTU DAN KEAMANAN HASIL PERIKANAN</t>
  </si>
  <si>
    <t>DITJEN PENGEMBANGAN EKONOMI KREATIF BERBASIS SENI DAN BUDAYA</t>
  </si>
  <si>
    <t>DIREKTORAT JENDERAL STANDARDISASI DAN PERLINDUNGAN KONSUMEN</t>
  </si>
  <si>
    <t>SEKRETARIAT BADAN PENGAWAS PEMILIHAN UMUM</t>
  </si>
  <si>
    <t>Dept</t>
  </si>
  <si>
    <t>Eselon I</t>
  </si>
  <si>
    <t>KOREM-072/PMK DAM IV/DIP</t>
  </si>
  <si>
    <t>LANUD ADISUTJIPTO</t>
  </si>
  <si>
    <t>BALAI PENGEMBANGAN MEDIA RADIO PENDIDIKAN</t>
  </si>
  <si>
    <t>Dinas Pendidikan, Pemuda dan Olahraga Daerah Istimewa Yogyakarta</t>
  </si>
  <si>
    <t>PERENCANAAN DAN PENGAWASAN JALAN NASIONAL PROVINSI DI. JOGYAKARTA</t>
  </si>
  <si>
    <t>SEKRETARIAT BAWASLU PROVINSI D.I. YOGYAKARTA</t>
  </si>
  <si>
    <t>176</t>
  </si>
  <si>
    <t>KPPN WATES</t>
  </si>
  <si>
    <t>Pend. Pajak Penghasilan (4111)</t>
  </si>
  <si>
    <t>Jumlah Pendapatan Pajak dan Bea Cukai</t>
  </si>
  <si>
    <t>Jumlah Pendapatan PNBP</t>
  </si>
  <si>
    <t>Pend. Pajak Pertambahan Nilai (4112)</t>
  </si>
  <si>
    <t>Pend. Cukai (4115)</t>
  </si>
  <si>
    <t>Pend. Pajak Lainnya (4116)</t>
  </si>
  <si>
    <t>Pend. Bea Masuk (4121)</t>
  </si>
  <si>
    <t>Pend. Jasa Layanan Umum (4241)</t>
  </si>
  <si>
    <t>Pend. Hasil Kerjasama BLU (4243)</t>
  </si>
  <si>
    <t>Pend. BLU Lainnya (4249)</t>
  </si>
  <si>
    <t>Pend. Penjualan dan Pendapatan Pengelolaan BMN (4231)</t>
  </si>
  <si>
    <t>ISIAN BELANJA PEGAWAI</t>
  </si>
  <si>
    <t>ISIAN BELANJA BARANG</t>
  </si>
  <si>
    <t>Estimasi</t>
  </si>
  <si>
    <t>Tabel 31</t>
  </si>
  <si>
    <t>•</t>
  </si>
  <si>
    <t>049140</t>
  </si>
  <si>
    <t>DINAS KELAUTAN, PETERNAKAN DAN PERIKANAN KABUPATEN BANTUL</t>
  </si>
  <si>
    <t>Tahun Anggaran 2014</t>
  </si>
  <si>
    <t>Sebagaimana diamanatkan Undang-Undang Nomor 17 Tahun 2003 tentang Keuangan Negara bahwa Menteri/Pimpinan Lembaga sebagai Pengguna Anggaran/Barang mempunyai tugas antara lain menyusun dan menyampaikan laporan keuangan Kementerian Negara/Lembaga yang dipimpinnya.</t>
  </si>
  <si>
    <t>Daftar Isi</t>
  </si>
  <si>
    <t xml:space="preserve">      E.  Penjelasan atas Pos-Pos Laporan Perubahan Ekuitas</t>
  </si>
  <si>
    <t xml:space="preserve">      D.  Penjelasan atas Pos-pos Laporan Operasional</t>
  </si>
  <si>
    <t>ii</t>
  </si>
  <si>
    <t>iii</t>
  </si>
  <si>
    <t xml:space="preserve">  RINGKASAN LAPORAN KEUANGAN</t>
  </si>
  <si>
    <t>2.  NERACA</t>
  </si>
  <si>
    <t>3.  LAPORAN OPERASIONAL</t>
  </si>
  <si>
    <t>4.  LAPORAN PERUBAHAN EKUITAS</t>
  </si>
  <si>
    <t xml:space="preserve">III. LAPORAN OPERASIONAL </t>
  </si>
  <si>
    <t>LAPORAN OPERASIONAL</t>
  </si>
  <si>
    <t>KEGIATAN OPERASIONAL</t>
  </si>
  <si>
    <t>PENDAPATAN OPERASIONAL</t>
  </si>
  <si>
    <t>PENDAPATAN PERPAJAKAN</t>
  </si>
  <si>
    <t>Pendapatan Pajak Penghasilan</t>
  </si>
  <si>
    <t>Pendapatan Pajak Pertambahan Nilai dan Penjualan Barang Mewah</t>
  </si>
  <si>
    <t>Pendapatan Bea Perolehan Hak atas Tanah dan Bangunan</t>
  </si>
  <si>
    <t>Pendapatan Cukai</t>
  </si>
  <si>
    <t>Pendapatan Bea Masuk</t>
  </si>
  <si>
    <t>Pendapatan Bea Keluar</t>
  </si>
  <si>
    <t>Jumlah Pendapatan Pajak</t>
  </si>
  <si>
    <t>PENDAPATAN NEGARA BUKAN PAJAK</t>
  </si>
  <si>
    <t>Pendapatan Sumber Daya Alam</t>
  </si>
  <si>
    <t>Pendapatan Bagian Pemerintah atas Laba</t>
  </si>
  <si>
    <t>Jumlah Pendapatan Negara Bukan Pajak</t>
  </si>
  <si>
    <t>PENDAPATAN HIBAH</t>
  </si>
  <si>
    <t>Jumlah Pendapatan Hibah</t>
  </si>
  <si>
    <t>BEBAN OPERASIONAL</t>
  </si>
  <si>
    <t>Beban Pegawai</t>
  </si>
  <si>
    <t>Beban Persediaan</t>
  </si>
  <si>
    <t xml:space="preserve">Beban Pemelihaan </t>
  </si>
  <si>
    <t>Beban Perjalanan Dinas</t>
  </si>
  <si>
    <t>Beban Barang Untuk Diserahkan Kepada Masyarakat</t>
  </si>
  <si>
    <t>Beban Bunga</t>
  </si>
  <si>
    <t>Beban Subsidi</t>
  </si>
  <si>
    <t>Beban Hibah</t>
  </si>
  <si>
    <t>Beban Bantuan Sosial</t>
  </si>
  <si>
    <t>Beban Penyusutan dan Amortisasi</t>
  </si>
  <si>
    <t>Beban Penyisihan Piutang Tak Tertagih</t>
  </si>
  <si>
    <t>Beban Transfer</t>
  </si>
  <si>
    <t>Beban Lain-Lain</t>
  </si>
  <si>
    <t>JUMLAH BEBAN OPERASIONAL</t>
  </si>
  <si>
    <t>SURPLUS/(DEFISIT) DARI KEGIATAN OPERASIONAL</t>
  </si>
  <si>
    <t>KEGIATAN NON OPERASIONAL</t>
  </si>
  <si>
    <t>Pendapatan Pelepasan Aset Non Lancar</t>
  </si>
  <si>
    <t>Beban Pelepasan Aset Non Lancar</t>
  </si>
  <si>
    <t>Jumlah Surplus/(Defisit) Pelepasan Aset Non Lancar</t>
  </si>
  <si>
    <t>SURPLUS/(DEFISIT) PENYELESAIAN KEWAJIBAN JANGKA PANJANG</t>
  </si>
  <si>
    <t>Pendapatan Penyelesaian Kewajiban Jangka Panajng</t>
  </si>
  <si>
    <t>Beban Penyelesaian Kewajiban Jangka Panjang</t>
  </si>
  <si>
    <t>Jumlah Surplus/(Defisit) Penyelesaian Kewajiban Jangka Panjang</t>
  </si>
  <si>
    <t>SURPLUS/(DEFISIT) DARI KEGIATAN NON OPERASIONAL LAINNYA</t>
  </si>
  <si>
    <t>Pendapatan dari Kegiatan Non Operasional Lainnya</t>
  </si>
  <si>
    <t>Beban dari Kegiatan Non Operasional Lainnya</t>
  </si>
  <si>
    <t>Jumlah Surplus/(Defisit) Dari Kegiatan Non Operaisonal Lainnya</t>
  </si>
  <si>
    <t>SURPLUS/(DEFISIT) DARI KEGIATAN NON OPERASIONAL</t>
  </si>
  <si>
    <t>POS LUAR BIASA</t>
  </si>
  <si>
    <t>Beban Luar Biasa</t>
  </si>
  <si>
    <t>SURPLUS/(DEFISIT) DARI POS LUAR BIASA</t>
  </si>
  <si>
    <t>SURPLUS/(DEFISIT) - LO</t>
  </si>
  <si>
    <t>JUMLAH PENDAPATAN OPERASIONAL</t>
  </si>
  <si>
    <t>SURPLUS/(DEFISIT) PELEPASAN ASET NON LANCAR</t>
  </si>
  <si>
    <t xml:space="preserve">IV. LAPORAN PERUBAHAN EKUITAS </t>
  </si>
  <si>
    <t>LAPORAN PERUBAHAN EKUITAS</t>
  </si>
  <si>
    <t>EKUITAS AWAL</t>
  </si>
  <si>
    <t>SURPLUS/DEFISIT-LO</t>
  </si>
  <si>
    <t>Koreksi Nilai Persediaan</t>
  </si>
  <si>
    <t>Selisih Revaluasi Aset Tetap</t>
  </si>
  <si>
    <t>Koreksi Nilai Aset Tetap Non Revaluasi</t>
  </si>
  <si>
    <t>TRANSAKSI ANTAR ENTITAS</t>
  </si>
  <si>
    <t>KENAIKAN/PENURUNAN EKUITAS</t>
  </si>
  <si>
    <t>EKUITAS AKHIR</t>
  </si>
  <si>
    <t xml:space="preserve">      F.  Pengungkapan Penting Lainnya</t>
  </si>
  <si>
    <t>Tahun Anggaran 2015</t>
  </si>
  <si>
    <t>Isikan hanya pada warna orange</t>
  </si>
  <si>
    <t>KEMENTERIAN DALAM  NEGERI</t>
  </si>
  <si>
    <t>KEMENTERIAN KETENAGAKERJAAN</t>
  </si>
  <si>
    <t>KEMENTERIAN LINGKUNGAN HIDUP DAN KEHUTANAN</t>
  </si>
  <si>
    <t>KEMENTERIAN PEKERJAAN UMUM DAN PERUMAHAN RAKYAT</t>
  </si>
  <si>
    <t>KEMENTERIAN PARIWISATA</t>
  </si>
  <si>
    <t>042</t>
  </si>
  <si>
    <t>KEMENTERIAN RISET, TEKNOLOGI DAN PENDIDIKAN TINGGI</t>
  </si>
  <si>
    <t>047</t>
  </si>
  <si>
    <t>KEMENTERIAN PEMBERDAYAAN PEREMPUAN DAN PERLINDUNGAN ANAK</t>
  </si>
  <si>
    <t>KEMENTERIAN AGRARIA DAN TATA RUANG/BPN</t>
  </si>
  <si>
    <t>067</t>
  </si>
  <si>
    <t>KEMENTERIAN DESA, PEMBANGUNAN DAERAH TERTINGGAL DAN TRANSMIGRASI</t>
  </si>
  <si>
    <t>BADAN PENGAWASAN  KEUANGAN DAN PEMBANGUNAN</t>
  </si>
  <si>
    <t>107</t>
  </si>
  <si>
    <t>BADAN SAR NASIONAL</t>
  </si>
  <si>
    <t>BADAN PENGAWASAN PEMILIHAN UMUM</t>
  </si>
  <si>
    <t>B. P. K.  PUSAT</t>
  </si>
  <si>
    <t>BADAN URUSAN ADMINISTRASI</t>
  </si>
  <si>
    <t>DIREKTORAT JENDERAL BADAN PERADILAN MILITER DAN PERADILAN TATA USAHA NEGARA</t>
  </si>
  <si>
    <t>SEKRETARIAT PRESIDEN</t>
  </si>
  <si>
    <t>010.01</t>
  </si>
  <si>
    <t>DITJEN BINA ADMINISTRASI KEWILAYAHAN</t>
  </si>
  <si>
    <t>DITJEN BINA PEMERINTAHAN DESA</t>
  </si>
  <si>
    <t>DITJEN KEPENDUDUKAN DAN PENCATATAN SIPIL</t>
  </si>
  <si>
    <t>BADAN PENGEMBANGAN SUMBER DAYA MANUSIA</t>
  </si>
  <si>
    <t>013.03</t>
  </si>
  <si>
    <t>DITJEN ADMINISTRASI HUKUM UMUM</t>
  </si>
  <si>
    <t>013.05</t>
  </si>
  <si>
    <t>DITJEN PEMASYARAKATAN</t>
  </si>
  <si>
    <t>013.06</t>
  </si>
  <si>
    <t>DITJEN IMIGRASI</t>
  </si>
  <si>
    <t>013.07</t>
  </si>
  <si>
    <t>DITJEN HAK ATAS KEKAYAAN INTELEKTUAL</t>
  </si>
  <si>
    <t>013.08</t>
  </si>
  <si>
    <t>DITJEN PERATURAN PERUNDANG-UNDANGAN</t>
  </si>
  <si>
    <t>DITJEN HAK ASASI MANUSIA</t>
  </si>
  <si>
    <t>013.10</t>
  </si>
  <si>
    <t>BADAN PEMBINAAN HUKUM NASIONAL</t>
  </si>
  <si>
    <t>013.11</t>
  </si>
  <si>
    <t>BADAN PENELITIAN DAN PENGEMBANGAN HAM</t>
  </si>
  <si>
    <t>013.12</t>
  </si>
  <si>
    <t>BADAN PENGEMBANGAN SUMBER DAYA MANUSIA HUKUM DAN HAK ASASI MANUSIA</t>
  </si>
  <si>
    <t>DITJEN PETERNAKAN DAN KESEHATAN HEWAN</t>
  </si>
  <si>
    <t>DITJEN PRASARANA DAN SARANA PERTANIAN</t>
  </si>
  <si>
    <t>BADAN PENYULUHAN DAN PENGEMBANGAN SUMBER DAYA MANUSIA PERTANIAN</t>
  </si>
  <si>
    <t>019.02</t>
  </si>
  <si>
    <t>DIREKTORAT JENDERAL INDUSTRI AGRO</t>
  </si>
  <si>
    <t>BADAN PENGKAJIAN KEBIJAKAN, IKLIM DAN MUTU INDUSTRI</t>
  </si>
  <si>
    <t>DITJEN PENDIDIKAN DASAR DAN MENENGAH</t>
  </si>
  <si>
    <t>DITJEN PENDIDIKAN ANAK USIA DINI DAN PENDIDIKAN MASYARAKAT</t>
  </si>
  <si>
    <t>023.11</t>
  </si>
  <si>
    <t>BADAN PENGEMBANGAN SDM PENDIDIKAN &amp; KEBUDAYAAN &amp; PENJAMINAN MUTU PENDIDIKAN</t>
  </si>
  <si>
    <t>DITJEN BINA UPAYA KESEHATAN</t>
  </si>
  <si>
    <t>DITJEN BIMBINGAN MASYARAKAT KATOLIK</t>
  </si>
  <si>
    <t>DIRJEN PENEMPATAN TENAGA KERJA DAN PERLUASAN KESEMPATAN KERJA</t>
  </si>
  <si>
    <t>DIRJEN PEMBINAAN HUBUNGAN INDUSTRIAL &amp; JAMINAN SOSIAL KETENAGAKERJAAN</t>
  </si>
  <si>
    <t>DIRJEN PEMBINAAN PEMBANGUNAN KAWASAN TRANSMIGRASI</t>
  </si>
  <si>
    <t>DIRJEN PEMBINAAN PENGEMBANGAN MASYARAKAT DAN KAWASAN TRANSMIGRASI</t>
  </si>
  <si>
    <t>DIRJEN PEMBINAAN PENGAWASAN KETENAGAKERJAAN DAN KESELAMATAN DAN KESEHATAN KERJAN KETENAGAKERJAAN</t>
  </si>
  <si>
    <t>DIRJEN PEMBINAAN PELATIHAN DAN PRODUKTIVITAS</t>
  </si>
  <si>
    <t>DITJEN PEMBERDAYAAN SOSIAL DAN PENANGGULANGAN KEMISKINAN</t>
  </si>
  <si>
    <t>DITJEN REHABILITASI SOSIAL</t>
  </si>
  <si>
    <t>DITJEN PERLINDUNGAN DAN JAMINAN SOSIAL</t>
  </si>
  <si>
    <t>029.01</t>
  </si>
  <si>
    <t>DITJEN PENGENDALIAN DAS DAN HUTAN LINDUNG</t>
  </si>
  <si>
    <t>DITJEN KONSERVASI SUMBER DAYA ALAM DAN EKOSISTEM</t>
  </si>
  <si>
    <t>DITJEN PLANOLOGI KEHUTANAN DAN TATA LINGKUNGAN</t>
  </si>
  <si>
    <t>BADAN PENELITIAN, PENGEMBANGAN DAN INOVASI</t>
  </si>
  <si>
    <t>029.09</t>
  </si>
  <si>
    <t>DITJEN PERHUTANAN SOSIAL DAN KEMITRAAN LINGKUNGAN</t>
  </si>
  <si>
    <t>029.10</t>
  </si>
  <si>
    <t>DITJEN PENEGAKAN HUKUM LINGKUNGAN HIDUP DAN KEHUTANAN</t>
  </si>
  <si>
    <t>029.11</t>
  </si>
  <si>
    <t>DITJEN PENGENDALIAN PERUBAHAN IKLIM</t>
  </si>
  <si>
    <t>DITJEN PENGAWASAN SUMBERDAYA KELAUTAN DAN PERIKANAN</t>
  </si>
  <si>
    <t>BADAN PENELITIAN DAN PENGEMBANGAN KELAUTAN DAN PERIKANAN</t>
  </si>
  <si>
    <t>DIREKTORAT JENDERAL BINA KONSTRUKSI</t>
  </si>
  <si>
    <t>033.15</t>
  </si>
  <si>
    <t>040.01</t>
  </si>
  <si>
    <t>SEKRETARIAT KEMENTERIAN</t>
  </si>
  <si>
    <t>040.10</t>
  </si>
  <si>
    <t>BADAN PENGEMBANGAN SUMBER DAYA PARIWISATA DAN EKONOMI KREATIF</t>
  </si>
  <si>
    <t>040.12</t>
  </si>
  <si>
    <t>DITJEN PENGEMBANGAN EKONOMI KREATIF BERBASIS MEDIA, DESAIN DAN IPTEK</t>
  </si>
  <si>
    <t>042.04</t>
  </si>
  <si>
    <t>DITJEN PEMBELAJARAN DAN KEMAHASISWAAN</t>
  </si>
  <si>
    <t>047.01</t>
  </si>
  <si>
    <t>056.05</t>
  </si>
  <si>
    <t>DIREKTORAT JENDERAL HUBUNGAN HUKUM KEAGRARIAAN</t>
  </si>
  <si>
    <t>056.06</t>
  </si>
  <si>
    <t>DIREKTORAT JENDERAL PENATAAN AGRARIA</t>
  </si>
  <si>
    <t>056.07</t>
  </si>
  <si>
    <t>DIREKTORAT JENDERAL PENGADAAN TANAH</t>
  </si>
  <si>
    <t>056.08</t>
  </si>
  <si>
    <t>DIREKTORAT JENDERAL PENGENDALIAN PEMANFAATAN RUANG DAN PENGUASAAN TANAH</t>
  </si>
  <si>
    <t>056.09</t>
  </si>
  <si>
    <t>DIREKTORAT JENDERAL PENANGANAN MASALAH AGRARIA,PEMANFAATAN RUANG DAN TANAH</t>
  </si>
  <si>
    <t>DITJEN SUMBER DAYA DAN PERANGKAT POS DAN INFORMATIKA</t>
  </si>
  <si>
    <t>067.03</t>
  </si>
  <si>
    <t>Direktorat Jenderal Pembangunan dan Pemberdayaan Masyarakat Desa</t>
  </si>
  <si>
    <t>067.07</t>
  </si>
  <si>
    <t>Direktorat Jenderal Penyiapan Kawasan dan Pembangunan Permukiman Transmigrasi</t>
  </si>
  <si>
    <t>067.08</t>
  </si>
  <si>
    <t>Direktorat Jenderal Pengembangan Kawasan Transmigrasi</t>
  </si>
  <si>
    <t>067.09</t>
  </si>
  <si>
    <t>Badan Penelitian dan Pengembangan, Pendidikan dan Pelatihan, Serta Informasi</t>
  </si>
  <si>
    <t>107.01</t>
  </si>
  <si>
    <t>013.09</t>
  </si>
  <si>
    <t>040021</t>
  </si>
  <si>
    <t>140051</t>
  </si>
  <si>
    <t>040170</t>
  </si>
  <si>
    <t>040171</t>
  </si>
  <si>
    <t>040257</t>
  </si>
  <si>
    <t>045166</t>
  </si>
  <si>
    <t>409180</t>
  </si>
  <si>
    <t>109111</t>
  </si>
  <si>
    <t>109636</t>
  </si>
  <si>
    <t>404585</t>
  </si>
  <si>
    <t>404591</t>
  </si>
  <si>
    <t>409182</t>
  </si>
  <si>
    <t>497727</t>
  </si>
  <si>
    <t>632590</t>
  </si>
  <si>
    <t>652852</t>
  </si>
  <si>
    <t>653438</t>
  </si>
  <si>
    <t>407995</t>
  </si>
  <si>
    <t>409183</t>
  </si>
  <si>
    <t>409184</t>
  </si>
  <si>
    <t>409185</t>
  </si>
  <si>
    <t>409186</t>
  </si>
  <si>
    <t>409187</t>
  </si>
  <si>
    <t>409188</t>
  </si>
  <si>
    <t>409189</t>
  </si>
  <si>
    <t>049087</t>
  </si>
  <si>
    <t>049038</t>
  </si>
  <si>
    <t>049088</t>
  </si>
  <si>
    <t>049089</t>
  </si>
  <si>
    <t>049090</t>
  </si>
  <si>
    <t>049091</t>
  </si>
  <si>
    <t>049092</t>
  </si>
  <si>
    <t>049093</t>
  </si>
  <si>
    <t>049094</t>
  </si>
  <si>
    <t>049179</t>
  </si>
  <si>
    <t>040007</t>
  </si>
  <si>
    <t>045167</t>
  </si>
  <si>
    <t>690386</t>
  </si>
  <si>
    <t>400573</t>
  </si>
  <si>
    <t>045134</t>
  </si>
  <si>
    <t>400525</t>
  </si>
  <si>
    <t>400346</t>
  </si>
  <si>
    <t>400442</t>
  </si>
  <si>
    <t>400248</t>
  </si>
  <si>
    <t>049097</t>
  </si>
  <si>
    <t>040255</t>
  </si>
  <si>
    <t>049098</t>
  </si>
  <si>
    <t>049099</t>
  </si>
  <si>
    <t>049156</t>
  </si>
  <si>
    <t>040100</t>
  </si>
  <si>
    <t>400931</t>
  </si>
  <si>
    <t>040133</t>
  </si>
  <si>
    <t>040258</t>
  </si>
  <si>
    <t>049018</t>
  </si>
  <si>
    <t>040130</t>
  </si>
  <si>
    <t>400016</t>
  </si>
  <si>
    <t>400017</t>
  </si>
  <si>
    <t>400058</t>
  </si>
  <si>
    <t>400059</t>
  </si>
  <si>
    <t>400118</t>
  </si>
  <si>
    <t>045161</t>
  </si>
  <si>
    <t>350904</t>
  </si>
  <si>
    <t>350905</t>
  </si>
  <si>
    <t>350911</t>
  </si>
  <si>
    <t>350917</t>
  </si>
  <si>
    <t>350929</t>
  </si>
  <si>
    <t>350906</t>
  </si>
  <si>
    <t>350918</t>
  </si>
  <si>
    <t>350930</t>
  </si>
  <si>
    <t>350907</t>
  </si>
  <si>
    <t>350908</t>
  </si>
  <si>
    <t>350914</t>
  </si>
  <si>
    <t>350920</t>
  </si>
  <si>
    <t>350932</t>
  </si>
  <si>
    <t>350909</t>
  </si>
  <si>
    <t>350915</t>
  </si>
  <si>
    <t>350921</t>
  </si>
  <si>
    <t>350933</t>
  </si>
  <si>
    <t>040256</t>
  </si>
  <si>
    <t>045165</t>
  </si>
  <si>
    <t>350108</t>
  </si>
  <si>
    <t>350107</t>
  </si>
  <si>
    <t>350106</t>
  </si>
  <si>
    <t>350482</t>
  </si>
  <si>
    <t>414583</t>
  </si>
  <si>
    <t>PENGADILAN MILITER  II - 11 DI YOGYAKARTA</t>
  </si>
  <si>
    <t>KEJAKSAAN TINGGI  D.I. YOGYAKARTA</t>
  </si>
  <si>
    <t>BAPPEDA PROVINSI YOGYAKARTA (10.01.1)</t>
  </si>
  <si>
    <t>BALAI PEMBERDAYAAN MASYARAKAT DAN DESA YOGYAKARTA</t>
  </si>
  <si>
    <t>DINAS PERTANIAN DAN KEHUTANAN KAB. BANTUL</t>
  </si>
  <si>
    <t>DINAS KEPENDUDUKAN DAN PENCATATAN SIPIL KABUPATEN BANTUL</t>
  </si>
  <si>
    <t>DINAS KEPENDUDUKAN DAN PENCATATAN SIPIL KABUPATEN SLEMAN</t>
  </si>
  <si>
    <t>DINAS KEPENDUDUKAN DAN PENCATATAN SIPIL KOTA YOGYAKARTA</t>
  </si>
  <si>
    <t>BADAN PENDIDIKAN DAN PELATIHAN DAERAH ISTIMEWA YOGYAKARTA</t>
  </si>
  <si>
    <t>RSPAU DR. S. HARDJOLUKITO</t>
  </si>
  <si>
    <t>DINAS PERTANIAN  PROVINSI D.I. YOGYAKARTA</t>
  </si>
  <si>
    <t>DINAS  PEKERJAAN UMUM, PERUMAHAN DAN ENERGI SUMBER DAYA MINERAL PROV. D. I. YOGYAKARTA</t>
  </si>
  <si>
    <t>BALAI PENYELIDIKAN DAN PENGEMBANGAN TEKNOLOGI KEBENCANAAN GEOLOGI</t>
  </si>
  <si>
    <t>DINAS PENDIDIKAN PEMUDA DAN OLAHRAGA DAERAH ISTIMEWA YOGYAKARTA</t>
  </si>
  <si>
    <t>DINAS PENDIDIKAN, PEMUDA, DAN OLAHRAGA DAERAH ISTIMEWA YOGYAKARTA</t>
  </si>
  <si>
    <t>SEKRETARIAT DITJEN DIKTI (PTN BH - UNIVERSITAS GAJAH MADA)</t>
  </si>
  <si>
    <t>KOORDINASI PERGURUAN TINGGI SWASTA WILAYAH V YOGYAKARTA</t>
  </si>
  <si>
    <t>BALAI ARKEOLOGI YOGYAKARTA</t>
  </si>
  <si>
    <t>DINAS PENDIDIKAN, PEMUDA DAN OLAHRAGA DAERAH ISTIMEWA YOGYAKARTA</t>
  </si>
  <si>
    <t>DINAS KESEHATAN  PROVINSI D.I. YOGYAKARTA</t>
  </si>
  <si>
    <t>BALAI BESAR TEHNIK KESEHATAN LINGKUNGAN DAN PENGENDALIAN PENYAKIT YOGYAKARTA</t>
  </si>
  <si>
    <t>MADRASAH TSANAWIYAH NEGERI YOGYAKARTA I KAB. SLEMAN</t>
  </si>
  <si>
    <t>MADRASAH ALIYAH NEGERI 3 YOGYAKARTA KAB. SLEMAN</t>
  </si>
  <si>
    <t>MADRASAH TSANAWIYAH NEGERI DLINGO KAB. BANTUL</t>
  </si>
  <si>
    <t>MADRASAH ALIYAH NEGERI TEMPEL KAB.SLEMAN</t>
  </si>
  <si>
    <t>MADRASAH IBTIDAIYAH NEGERI PAJANGAN KAB. BANTUL</t>
  </si>
  <si>
    <t>MADRASAH TSANAWIYAH NEGERI LAB. UIN YOGYAKARTA KAB. BANTUL</t>
  </si>
  <si>
    <t>MADRASAH ALIYAH NEGERI LAB UIN YOGYAKARTA KAB. BANTUL</t>
  </si>
  <si>
    <t>DINAS TENAGA KERJA DAN SOSIAL KAB. SLEMAN</t>
  </si>
  <si>
    <t>BALAI BESAR LATIHAN KETRANSMIGRASIAN YOGYAKARTA</t>
  </si>
  <si>
    <t>DINAS KEHUTANAN DAN PERKEBUNAN PROVINSI D.I. YOGYAKARTA</t>
  </si>
  <si>
    <t>DINAS PERTANIAN, PERIKANAN, DAN KEHUTANAN KAB. SLEMAN</t>
  </si>
  <si>
    <t>DINAS PERTANIAN, PERIKANAN DAN KEHUTANAN KAB. SLEMAN</t>
  </si>
  <si>
    <t>BALAI PENDIDIKAN DAN PELATIHAN VIII</t>
  </si>
  <si>
    <t>DINAS PEKERJAAN UMUM, PERUMAHAN DAN ENERGI SUMBER DAYA MINERAL  PROVINSI D.I. YOGYAKARTA</t>
  </si>
  <si>
    <t>PELAKSANAAN JALAN NASIONAL WILAYAH  PROVINSI D.I. YOGYAKARTA</t>
  </si>
  <si>
    <t>PENGEMBANGAN KAWASAN PERMUKIMAN DAN PENATAAN BANGUNAN D.I. YOGYAKARTA</t>
  </si>
  <si>
    <t>PENGEMBANGAN AIR MINUM DAN SANITASI D.I. YOGYAKARTA</t>
  </si>
  <si>
    <t>PEMBANGUNAN INFRASTRUKTUR PERMUKIMAN  KAB. BANTUL</t>
  </si>
  <si>
    <t>PEMBANGUNAN INFRASTRUKTUR PERMUKIMAN  KAB. SLEMAN</t>
  </si>
  <si>
    <t>PEMBANGUNAN INFRASTRUKTUR PERMUKIMAN  KOTA YOGYAKARTA</t>
  </si>
  <si>
    <t>OPERASI DAN PEMELIHARAAN SUMBER DAYA AIR SERAYU OPAK</t>
  </si>
  <si>
    <t>SNVT PELAKSANAAN JARINGAN PEMANFAATAN AIR  SERAYU-OPAK</t>
  </si>
  <si>
    <t>BALAI LITBANG TEKNOLOGI SABO DI YOGYAKARTA</t>
  </si>
  <si>
    <t>BALAI LITBANG PENERAPAN TEKNOLOGI II</t>
  </si>
  <si>
    <t>PELAKSANA PEMBERDAYAAN JASA KONSTRUKSI DAERAH PROVINSI D.I. YOGYAKARTA</t>
  </si>
  <si>
    <t>DINAS PARIWISATA PROVINSI DI YOGYAKARTA</t>
  </si>
  <si>
    <t>UNIVERSITAS PEMBANGUNAN NASIONAL VETERAN YOGYAKARTA</t>
  </si>
  <si>
    <t>DINAS  PERINDUSTRIAN, PERDAGANGAN, KOPERASI DAN UKM PROVINSI D.I. YOGYAKARTA</t>
  </si>
  <si>
    <t>Badan Pemberdayaan Perempuan dan Masyarakat Provinsi Daerah Istimewa Yogyakarta</t>
  </si>
  <si>
    <t>Bappeda Provinsi DIY</t>
  </si>
  <si>
    <t>BADAN NARKOTIKA NASIONAL KABUPATEN SLEMAN</t>
  </si>
  <si>
    <t>BADAN NARKOTIKA NASIONAL KOTA YOGYAKARTA</t>
  </si>
  <si>
    <t>BALAI BESAR PELATIHAN MASYARAKAT DESA, PDT, DAN TRANSMIGRASI YOGYAKARTA</t>
  </si>
  <si>
    <t>STASIUN GEOFISIKA  YOGYAKARTA</t>
  </si>
  <si>
    <t>KPU  PROVINSI DI YOGYAKARTA</t>
  </si>
  <si>
    <t>KPU  KABUPATEN BANTUL</t>
  </si>
  <si>
    <t>KPU  KABUPATEN SLEMAN</t>
  </si>
  <si>
    <t>KPU  KOTA YOGYAKARTA</t>
  </si>
  <si>
    <t>PUSAT SAINS DAN TEKNOLOGI AKSELERATOR</t>
  </si>
  <si>
    <t>BADAN PERPUSTAKAAN DAN ARSIP DAERAH PROVINSI DAERAH ISTIMEWA YOGYAKARTA</t>
  </si>
  <si>
    <t>DINAS PERINDUSTRIAN,  PERDAGANGAN DAN UKM D.I. YOGYAKARTA</t>
  </si>
  <si>
    <t>BALAI STANDARISASI METROLOGI LEGAL REGIONAL II</t>
  </si>
  <si>
    <t>Kantor SAR Yogyakarta</t>
  </si>
  <si>
    <t>TVRI STASIUN D.I. YOGYAKARTA</t>
  </si>
  <si>
    <t>511127</t>
  </si>
  <si>
    <t>511128</t>
  </si>
  <si>
    <t>511131</t>
  </si>
  <si>
    <t>511132</t>
  </si>
  <si>
    <t>511133</t>
  </si>
  <si>
    <t>511135</t>
  </si>
  <si>
    <t>511136</t>
  </si>
  <si>
    <t>511137</t>
  </si>
  <si>
    <t>511139</t>
  </si>
  <si>
    <t>511141</t>
  </si>
  <si>
    <t>511142</t>
  </si>
  <si>
    <t>511143</t>
  </si>
  <si>
    <t>511144</t>
  </si>
  <si>
    <t>511145</t>
  </si>
  <si>
    <t>511146</t>
  </si>
  <si>
    <t>511149</t>
  </si>
  <si>
    <t>511156</t>
  </si>
  <si>
    <t>511157</t>
  </si>
  <si>
    <t>511177</t>
  </si>
  <si>
    <t>511178</t>
  </si>
  <si>
    <t>511181</t>
  </si>
  <si>
    <t>511182</t>
  </si>
  <si>
    <t>511183</t>
  </si>
  <si>
    <t>511184</t>
  </si>
  <si>
    <t>511185</t>
  </si>
  <si>
    <t>511186</t>
  </si>
  <si>
    <t>511187</t>
  </si>
  <si>
    <t>511188</t>
  </si>
  <si>
    <t>511189</t>
  </si>
  <si>
    <t>511194</t>
  </si>
  <si>
    <t>511195</t>
  </si>
  <si>
    <t>511196</t>
  </si>
  <si>
    <t>511211</t>
  </si>
  <si>
    <t>511219</t>
  </si>
  <si>
    <t>511221</t>
  </si>
  <si>
    <t>511222</t>
  </si>
  <si>
    <t>511223</t>
  </si>
  <si>
    <t>511224</t>
  </si>
  <si>
    <t>511225</t>
  </si>
  <si>
    <t>511226</t>
  </si>
  <si>
    <t>511227</t>
  </si>
  <si>
    <t>511228</t>
  </si>
  <si>
    <t>511229</t>
  </si>
  <si>
    <t>511231</t>
  </si>
  <si>
    <t>511232</t>
  </si>
  <si>
    <t>511233</t>
  </si>
  <si>
    <t>511234</t>
  </si>
  <si>
    <t>511235</t>
  </si>
  <si>
    <t>511236</t>
  </si>
  <si>
    <t>511237</t>
  </si>
  <si>
    <t>511239</t>
  </si>
  <si>
    <t>511241</t>
  </si>
  <si>
    <t>511242</t>
  </si>
  <si>
    <t>511243</t>
  </si>
  <si>
    <t>511244</t>
  </si>
  <si>
    <t>511245</t>
  </si>
  <si>
    <t>511246</t>
  </si>
  <si>
    <t>511311</t>
  </si>
  <si>
    <t>511319</t>
  </si>
  <si>
    <t>511321</t>
  </si>
  <si>
    <t>511322</t>
  </si>
  <si>
    <t>511323</t>
  </si>
  <si>
    <t>511324</t>
  </si>
  <si>
    <t>511325</t>
  </si>
  <si>
    <t>511331</t>
  </si>
  <si>
    <t>511333</t>
  </si>
  <si>
    <t>511334</t>
  </si>
  <si>
    <t>511335</t>
  </si>
  <si>
    <t>511336</t>
  </si>
  <si>
    <t>511337</t>
  </si>
  <si>
    <t>511338</t>
  </si>
  <si>
    <t>511339</t>
  </si>
  <si>
    <t>Belanja Gaji Dokter PTT (5114XX)</t>
  </si>
  <si>
    <t>511411</t>
  </si>
  <si>
    <t>511412</t>
  </si>
  <si>
    <t>511413</t>
  </si>
  <si>
    <t>511414</t>
  </si>
  <si>
    <t>511511</t>
  </si>
  <si>
    <t>511512</t>
  </si>
  <si>
    <t>511513</t>
  </si>
  <si>
    <t>511519</t>
  </si>
  <si>
    <t>511521</t>
  </si>
  <si>
    <t>511522</t>
  </si>
  <si>
    <t>Belanja Gaji dan Tunjangan Pegawai Non PNS (5115XX)</t>
  </si>
  <si>
    <t>521111</t>
  </si>
  <si>
    <t>521112</t>
  </si>
  <si>
    <t>521113</t>
  </si>
  <si>
    <t>521114</t>
  </si>
  <si>
    <t>521115</t>
  </si>
  <si>
    <t>521116</t>
  </si>
  <si>
    <t>521119</t>
  </si>
  <si>
    <t>Belanja Gaji Dokter PTT</t>
  </si>
  <si>
    <t>521211</t>
  </si>
  <si>
    <t>521212</t>
  </si>
  <si>
    <t>521213</t>
  </si>
  <si>
    <t>521214</t>
  </si>
  <si>
    <t>521216</t>
  </si>
  <si>
    <t>521217</t>
  </si>
  <si>
    <t>521218</t>
  </si>
  <si>
    <t>521219</t>
  </si>
  <si>
    <t>521511</t>
  </si>
  <si>
    <t>521512</t>
  </si>
  <si>
    <t>521513</t>
  </si>
  <si>
    <t>521521</t>
  </si>
  <si>
    <t>Belanja Barang Pengganti Pajak Dalam Rangka Hibah MCC (5215XX)</t>
  </si>
  <si>
    <t>Belanja Barang untuk Pencatatan Persediaan dari Hibah (5216XX)</t>
  </si>
  <si>
    <t>Belanja Kontribusi (5217XX)</t>
  </si>
  <si>
    <t>521711</t>
  </si>
  <si>
    <t>521721</t>
  </si>
  <si>
    <t>521722</t>
  </si>
  <si>
    <t>Belanja Barang Persediaan (5218XX)</t>
  </si>
  <si>
    <t>521811</t>
  </si>
  <si>
    <t>521812</t>
  </si>
  <si>
    <t>521813</t>
  </si>
  <si>
    <t>521821</t>
  </si>
  <si>
    <t>521822</t>
  </si>
  <si>
    <t>521831</t>
  </si>
  <si>
    <t>521832</t>
  </si>
  <si>
    <t>537111</t>
  </si>
  <si>
    <t>537112</t>
  </si>
  <si>
    <t>537113</t>
  </si>
  <si>
    <t>537114</t>
  </si>
  <si>
    <t>537115</t>
  </si>
  <si>
    <t>Belanja Operasi</t>
  </si>
  <si>
    <t>Belanja Tanah</t>
  </si>
  <si>
    <t>Belanja Peralatan dan Mesin</t>
  </si>
  <si>
    <t>Belanja Gedung dan Bangunan</t>
  </si>
  <si>
    <t>Belanja Jalan, Irigasi, Jaringan</t>
  </si>
  <si>
    <t>Belanja Bantuan Sosial</t>
  </si>
  <si>
    <t>Belanja Modal Lainnya</t>
  </si>
  <si>
    <t>Pendapatan Pajak Lainnya</t>
  </si>
  <si>
    <t>Pendapatan Pajak Bumi dan Bangunan</t>
  </si>
  <si>
    <t>Pendapatan Negara Bukan Pajak Lainnya</t>
  </si>
  <si>
    <t>Ekuitas</t>
  </si>
  <si>
    <t>V. CATATAN ATAS LAPORAN KEUANGAN</t>
  </si>
  <si>
    <t>A.2. Pendekatan Penyusunan Laporan Keuangan</t>
  </si>
  <si>
    <t>Dasar Hukum Entitas dan Rencana Strategis</t>
  </si>
  <si>
    <t>A.3 Basis Akuntansi</t>
  </si>
  <si>
    <t>Basis Akuntansi</t>
  </si>
  <si>
    <t>A.4 Dasar Pengukuran</t>
  </si>
  <si>
    <t>Dasar Pengukuran</t>
  </si>
  <si>
    <t>Pendapatan-LRA</t>
  </si>
  <si>
    <t>Pendapatan-LRA diakui pada saat kas diterima pada Kas Umum Negara (KUN).</t>
  </si>
  <si>
    <t>Akuntansi pendapatan-LRA dilaksanakan berdasarkan azas bruto, yaitu dengan membukukan penerimaan bruto, dan tidak mencatat jumlah nettonya (setelah dikompensasikan dengan pengeluaran).</t>
  </si>
  <si>
    <t>Pendapatan-LRA disajikan menurut klasifikasi sumber pendapatan.</t>
  </si>
  <si>
    <t>(2)</t>
  </si>
  <si>
    <t>Pendapatan-LO</t>
  </si>
  <si>
    <t>Pendapatan-LO adalah hak pemerintah pusat yang diakui sebagai penambah ekuitas dalam periode tahun anggaran yang bersangkutan dan tidak perlu dibayar kembali.</t>
  </si>
  <si>
    <t>Akuntansi pendapatan-LO dilaksanakan berdasarkan azas bruto, yaitu dengan membukukan penerimaan bruto, dan tidak mencatat jumlah nettonya (setelah dikompensasikan dengan pengeluaran).</t>
  </si>
  <si>
    <t>Pendapatan disajikan menurut klasifikasi sumber pendapatan.</t>
  </si>
  <si>
    <t>(3)</t>
  </si>
  <si>
    <t xml:space="preserve">• </t>
  </si>
  <si>
    <t xml:space="preserve">Belanja diakui pada saat terjadi pengeluaran kas dari KUN. </t>
  </si>
  <si>
    <t xml:space="preserve">Belanja disajikan menurut klasifikasi ekonomi/jenis belanja dan selanjutnya klasifikasi berdasarkan organisasi dan fungsi akan diungkapkan dalam Catatan atas Laporan Keuangan. </t>
  </si>
  <si>
    <t xml:space="preserve">Beban disajikan menurut klasifikasi ekonomi/jenis belanja dan selanjutnya klasifikasi berdasarkan organisasi dan fungsi diungkapkan dalam Catatan atas Laporan Keuangan. </t>
  </si>
  <si>
    <t>(4)</t>
  </si>
  <si>
    <t>Beban</t>
  </si>
  <si>
    <t xml:space="preserve">Beban diakui pada saat timbulnya kewajiban; terjadinya konsumsi aset; terjadinya penurunan manfaat ekonomi atau potensi jasa.  </t>
  </si>
  <si>
    <t>(5)</t>
  </si>
  <si>
    <t>Aset diklasifikasikan menjadi Aset Lancar, Aset Tetap, Piutang Jangka Panjang dan Aset Lainnya.</t>
  </si>
  <si>
    <t>Aset tetap mencakup seluruh aset berwujud yang dimanfaatkan oleh pemerintah maupun untuk kepentingan publik yang mempunyai masa manfaat lebih dari 1 tahun.</t>
  </si>
  <si>
    <t xml:space="preserve">Nilai Aset tetap disajikan berdasarkan harga perolehan atau harga wajar. </t>
  </si>
  <si>
    <t xml:space="preserve">Pengeluaran yang tidak tercakup dalam batasan nilai minimum kapitalisasi tersebut di atas, diperlakukan sebagai biaya kecuali pengeluaran untuk tanah, jalan/irigasi/jaringan, dan aset tetap lainnya berupa koleksi perpustakaan dan barang bercorak kesenian. </t>
  </si>
  <si>
    <t>Pengeluaran untuk per satuan peralatan dan mesin dan peralatan olah raga yang nilainya sama dengan atau lebih dari Rp300.000 (tiga ratus ribu rupiah);</t>
  </si>
  <si>
    <t>Pengeluaran untuk gedung dan bangunan yang nilainya sama dengan atau lebih dari Rp10.000.000 (sepuluh juta rupiah);</t>
  </si>
  <si>
    <t xml:space="preserve">Kewajiban adalah utang yang timbul dari peristiwa masa lalu yang penyelesaiannya mengakibatkan aliran keluar sumber daya ekonomi pemerintah. </t>
  </si>
  <si>
    <t xml:space="preserve">Kewajiban diklasifikasikan sebagai kewajiban jangka panjang jika diharapkan untuk dibayar atau jatuh tempo dalam waktu lebih dari dua belas bulan setelah tanggal pelaporan. </t>
  </si>
  <si>
    <t xml:space="preserve">Kewajiban dicatat sebesar nilai nominal, yaitu sebesar nilai kewajiban pemerintah pada saat pertama kali transaksi berlangsung. </t>
  </si>
  <si>
    <t xml:space="preserve">Satu bulan terhitung sejak tanggal Surat Tagihan Ketiga tidak dilakukan pelunasan
</t>
  </si>
  <si>
    <t>Penyusutan aset tetap tidak dilakukan terhadap:</t>
  </si>
  <si>
    <t>Konstruksi Dalam Pengerjaan (KDP)</t>
  </si>
  <si>
    <t>Aset Tetap yang dinyatakan hilang berdasarkan dokumen sumber sah atau dalam kondisi rusak berat dan/atau usang yang telah diusulkan kepada Pengelola Barang untuk dilakukan penghapusan.</t>
  </si>
  <si>
    <t>Penghitungan  dan  pencatatan  Penyusutan  Aset  Tetap  dilakukan  setiap akhir semester tanpa memperhitungkan adanya nilai residu.</t>
  </si>
  <si>
    <t>Penyusutan  Aset  Tetap  dilakukan  dengan  menggunakan  metode  garis lurus yaitu dengan mengalokasikan nilai yang dapat disusutkan dari Aset Tetap secara merata setiap semester selama Masa Manfaat.</t>
  </si>
  <si>
    <t xml:space="preserve">Masa  Manfaat  Aset  Tetap  ditentukan  dengan  berpedoman  Keputusan Menteri Keuangan Nomor: 59/KMK.06/2013 tentang Tabel Masa Manfaat Dalam Rangka Penyusutan Barang Milik Negara berupa Aset Tetap pada Entitas  Pemerintah  Pusat.  Secara  umum  tabel  masa  manfaat adalah sebagai berikut: </t>
  </si>
  <si>
    <t>Penggolongan Masa Manfaat Aset Tetap</t>
  </si>
  <si>
    <t xml:space="preserve">Gedung dan Bangunan </t>
  </si>
  <si>
    <t xml:space="preserve">Jalan, Jaringan dan Irigasi </t>
  </si>
  <si>
    <t>Rincian Kas di Bendahara Pengeluaran adalah sebagai berikut:</t>
  </si>
  <si>
    <t>Jasa Giro yang belum disetor ke kas negara</t>
  </si>
  <si>
    <t>Pajak PPh yang belum disetor</t>
  </si>
  <si>
    <t>Honor kegiatan yang belum dibagikan</t>
  </si>
  <si>
    <t>Pengembalian belanja belum disetor ke kas negara</t>
  </si>
  <si>
    <t>Bagian Lancar TP/TGR</t>
  </si>
  <si>
    <t>Belanja Dibayar di Muka</t>
  </si>
  <si>
    <t xml:space="preserve">Kas Lainnya dan Setara Kas </t>
  </si>
  <si>
    <t>Piutang PNBP</t>
  </si>
  <si>
    <t>C.1</t>
  </si>
  <si>
    <t>C.2</t>
  </si>
  <si>
    <t>C.3</t>
  </si>
  <si>
    <t>C.4</t>
  </si>
  <si>
    <t>C.5</t>
  </si>
  <si>
    <t>C.6</t>
  </si>
  <si>
    <t>C.7</t>
  </si>
  <si>
    <t>C.8</t>
  </si>
  <si>
    <t>C.9</t>
  </si>
  <si>
    <t>Tagihan TP/TGR</t>
  </si>
  <si>
    <t>Penyisihan Piutang Tak Tertagih-Piutang Jangka Panjang</t>
  </si>
  <si>
    <t>Jumlah Piutang  Jangka Panjang</t>
  </si>
  <si>
    <t>C.12</t>
  </si>
  <si>
    <t>C.13</t>
  </si>
  <si>
    <t xml:space="preserve">Akumulasi Penyusutan Aset Tetap </t>
  </si>
  <si>
    <t>C.14</t>
  </si>
  <si>
    <t>C.15</t>
  </si>
  <si>
    <t>C.16</t>
  </si>
  <si>
    <t>C.17</t>
  </si>
  <si>
    <t>C.18</t>
  </si>
  <si>
    <t>C.19</t>
  </si>
  <si>
    <t>C.20</t>
  </si>
  <si>
    <t>Akumulasi Penyusutan dan Amortisasi Aset Lainnya</t>
  </si>
  <si>
    <t>C.21</t>
  </si>
  <si>
    <t>C.22</t>
  </si>
  <si>
    <t>Peralatan &amp; Mesin</t>
  </si>
  <si>
    <t>Rincian Bagian Lancar TP/TGR</t>
  </si>
  <si>
    <t>Nama</t>
  </si>
  <si>
    <t>Rincian Bagian Lancar TPA</t>
  </si>
  <si>
    <t>Nilai Piutang Jk Pendek</t>
  </si>
  <si>
    <t>% Penyisihan</t>
  </si>
  <si>
    <t>Piutang Bukan Pajak</t>
  </si>
  <si>
    <t>Bagian Lancar TPA</t>
  </si>
  <si>
    <t>Jumlah Penyisihan Piutang Tak Tertagih</t>
  </si>
  <si>
    <t>Tuntutan Perbendaharaan adalah tagihan kepada bendahara akibat kelalaiannya atau tindakannya yang melanggar hukum yang mengakibatkan kerugian negara. Sedangkan Tuntutan Ganti Rugi adalah tagihan kepada pegawai bukan bendahara untuk penggantian atas suatu kerugian yang diderita oleh negara karena kelalaianya.</t>
  </si>
  <si>
    <t>Barang Untuk Pemeliharaan</t>
  </si>
  <si>
    <t>Rincian Tagihan TP/TGR</t>
  </si>
  <si>
    <t>Rincian Tagihan TPA</t>
  </si>
  <si>
    <t>Tagihan PA</t>
  </si>
  <si>
    <t>Nilai Piutang Jk Panjang</t>
  </si>
  <si>
    <t xml:space="preserve">     Mutasi tambah:</t>
  </si>
  <si>
    <t xml:space="preserve">     Mutasi Kurang</t>
  </si>
  <si>
    <t>Rincian Tanah</t>
  </si>
  <si>
    <t>Rincian aset tetap Peralatan dan Mesin disajikan pada Lampiran Laporan Keuangan ini.</t>
  </si>
  <si>
    <t>Untuk Jalan, Irigasi, Jaringan, Isikan alasan di kotak ini:</t>
  </si>
  <si>
    <t>Mutasi transaksi Jalan, Irigasi, dan Jaringan pada tanggal pelaporan adalah sebagai berikut:</t>
  </si>
  <si>
    <t>Penambahan Jaringan teknologi informasi</t>
  </si>
  <si>
    <t>Rincian aset tetap Jalan, Irigasi, dan Jaringan  disajikan pada Lampiran Laporan Keuangan ini.</t>
  </si>
  <si>
    <t>Rincian Akumulasi Penyusutan Aset Tetap</t>
  </si>
  <si>
    <t>Nilai Perolehan</t>
  </si>
  <si>
    <t>Nilai Buku</t>
  </si>
  <si>
    <t>Diisi Jika ada</t>
  </si>
  <si>
    <t>Akumulasi Penyusutan/ Amortisasi</t>
  </si>
  <si>
    <t>Utang kepada Pihak ketiga lainnya</t>
  </si>
  <si>
    <t>D. PENJELASAN ATAS POS-POS LAPORAN OPERASIONAL</t>
  </si>
  <si>
    <t>NAIK (TURUN) %</t>
  </si>
  <si>
    <t>Pendapatan Jasa</t>
  </si>
  <si>
    <t>Pendapatan Lain-lain</t>
  </si>
  <si>
    <t>D.2  Beban Pegawai</t>
  </si>
  <si>
    <t>D.1  Pendapatan Penerimaan Negara Bukan Pajak</t>
  </si>
  <si>
    <t>Beban Honorarium dan Vakasi</t>
  </si>
  <si>
    <t>Beban Lembur</t>
  </si>
  <si>
    <t>Beban Persediaan Konsumsi</t>
  </si>
  <si>
    <t>Beban Persediaan Lainnya</t>
  </si>
  <si>
    <t>D.3  Beban Persediaan</t>
  </si>
  <si>
    <t>Beban Jasa Profesi</t>
  </si>
  <si>
    <t>Beban Jasa Lainnya</t>
  </si>
  <si>
    <t>D.5  Beban Pemeliharaan</t>
  </si>
  <si>
    <t>Beban Pemeliharaan Gedung dan Bangunan</t>
  </si>
  <si>
    <t>Beban Pemeliharaan Peralatan dan Mesin</t>
  </si>
  <si>
    <t>D.6  Beban Perjalanan Dinas</t>
  </si>
  <si>
    <t>Beban Perjalanan Biasa</t>
  </si>
  <si>
    <t>Beban Perjalanan Dinas Dalam Kota</t>
  </si>
  <si>
    <t>Beban Perjalanan Dinas Paket Meeting Dalam Kota</t>
  </si>
  <si>
    <t>Beban Perjalanan Dinas Paket Meeting Luar Kota</t>
  </si>
  <si>
    <t>D.7  Beban Barang untuk Diserahkan kepada Masyarakat</t>
  </si>
  <si>
    <t>Beban Gedung dan Bangunan untuk Diserahkan kepada Masyarakat/Pemda</t>
  </si>
  <si>
    <t>Beban Peralatan dan Mesin untuk Diserahkan kepada Masyarakat/Pemda</t>
  </si>
  <si>
    <t>Beban Barang Lainnya untuk Diserahkan kepada Masyarakat/Pemda</t>
  </si>
  <si>
    <t>D.8  Beban Bantuan Sosial</t>
  </si>
  <si>
    <t>Uraian Jenis Beban</t>
  </si>
  <si>
    <t>Belanja Bantuan Sosial untuk Rehabilitasi Sosial</t>
  </si>
  <si>
    <t>Belanja Bantuan Sosial untuk Jaminan Sosial</t>
  </si>
  <si>
    <t>Belanja Bantuan Sosial untuk Pemberdayaan Sosial</t>
  </si>
  <si>
    <t>D.9  Beban Penyusutan dan Amortisasi</t>
  </si>
  <si>
    <t>Uraian Beban Penyusutan dan Amortisasi</t>
  </si>
  <si>
    <t>Beban Penyusutan Peralatan dan Mesin</t>
  </si>
  <si>
    <t>Beban Penyusutan Gedung dan Bangunan</t>
  </si>
  <si>
    <t>Beban Penyusutan Jalan, Irigasi dan Jaringan</t>
  </si>
  <si>
    <t>Beban Penyusutan Aset Tetap Lainnya</t>
  </si>
  <si>
    <t>Jumlah Penyusutan</t>
  </si>
  <si>
    <t>Jumlah Beban Penyusutan dan Amortisasi</t>
  </si>
  <si>
    <t>Jumlah Amortisasi</t>
  </si>
  <si>
    <t>Beban Penyusutan Aset Lain-lain</t>
  </si>
  <si>
    <t>D.10  Beban Penyisihan Piutang Tak Tertagih</t>
  </si>
  <si>
    <t>Surplus (Defisit) dari Kegiatan Non Operasional</t>
  </si>
  <si>
    <t>Pendapatan PNBP</t>
  </si>
  <si>
    <t>E. PENJELASAN ATAS POS-POS LAPORAN PERUBAHAN EKUITAS</t>
  </si>
  <si>
    <t>Rincian Koreksi Nilai Persediaan</t>
  </si>
  <si>
    <t>Jenis Persediaan</t>
  </si>
  <si>
    <t>Koreksi</t>
  </si>
  <si>
    <t>Barang Persediaan Lainnya</t>
  </si>
  <si>
    <t>E.1  Ekuitas Awal</t>
  </si>
  <si>
    <t>Jenis Beban</t>
  </si>
  <si>
    <t>F. PENGUNGKAPAN-PENGUNGKAPAN LAINNYA</t>
  </si>
  <si>
    <t>F.1  KEJADIAN-KEJADIAN PENTING SETELAH TANGGAL NERACA</t>
  </si>
  <si>
    <t>F.2  PENGUNGKAPAN LAIN-LAIN</t>
  </si>
  <si>
    <t xml:space="preserve">1.    LAPORAN REALISASI ANGGARAN </t>
  </si>
  <si>
    <t>% Real Angg.</t>
  </si>
  <si>
    <t>Total Belanja Kotor</t>
  </si>
  <si>
    <t xml:space="preserve">NAIK </t>
  </si>
  <si>
    <t>(TURUN)</t>
  </si>
  <si>
    <t>Realisasi Belanja Kotor</t>
  </si>
  <si>
    <t>Jumlah Belanja</t>
  </si>
  <si>
    <t>Pengembalian Belanja Pegawai</t>
  </si>
  <si>
    <t>Jumlah Belanja Kotor</t>
  </si>
  <si>
    <t>Pengembalian Belanja Modal</t>
  </si>
  <si>
    <t>Untuk Belanja Modal Peralatan dan Mesin, Isikan alasan perubahan di kotak ini:</t>
  </si>
  <si>
    <t>Untuk Belanja Modal Tanah, Isikan alasan perubahan di kotak ini:</t>
  </si>
  <si>
    <t>Untuk Belanja Modal Gedung dan Bangunan, Isikan alasan perubahan di kotak ini:</t>
  </si>
  <si>
    <t xml:space="preserve">B.1  Pendapatan </t>
  </si>
  <si>
    <t>B.2  Belanja</t>
  </si>
  <si>
    <t>Isikan rincian pendapatan di kotak ini :</t>
  </si>
  <si>
    <t>I.</t>
  </si>
  <si>
    <t>II.</t>
  </si>
  <si>
    <t>III.</t>
  </si>
  <si>
    <t>IV.</t>
  </si>
  <si>
    <t>V.</t>
  </si>
  <si>
    <t>Laporan Realisasi Anggaran</t>
  </si>
  <si>
    <t>Neraca</t>
  </si>
  <si>
    <t>Laporan Operasional</t>
  </si>
  <si>
    <t>Laporan Perubahan Ekuitas</t>
  </si>
  <si>
    <t>Catatan atas Laporan Keuangan</t>
  </si>
  <si>
    <t>VI.</t>
  </si>
  <si>
    <t>A.</t>
  </si>
  <si>
    <t>B.</t>
  </si>
  <si>
    <t>C.</t>
  </si>
  <si>
    <t>D.</t>
  </si>
  <si>
    <t>E.</t>
  </si>
  <si>
    <t>F.</t>
  </si>
  <si>
    <t>Penjelasan Umum</t>
  </si>
  <si>
    <t>Penjelasan atas Pos-pos Laporan Realisasi Anggaran</t>
  </si>
  <si>
    <t>Penjelasan atas Pos-pos Neraca</t>
  </si>
  <si>
    <t>Penjelasan atas Pos-pos Laporan Operasional</t>
  </si>
  <si>
    <t>Penjelasan atas Pos-Pos Laporan Perubahan Ekuitas</t>
  </si>
  <si>
    <t>Pengungkapan Penting Lainnya</t>
  </si>
  <si>
    <t>5. CATATAN ATAS LAPORAN KEUANGAN</t>
  </si>
  <si>
    <t>Catatan atas Laporan Keuangan (CaLK) menyajikan informasi tentang penjelasan atau daftar terinci atau analisis atas nilai suatu pos yang disajikan dalam Laporan Realisasi Anggaran, Neraca, Laporan Operasional, dan Laporan Perubahan Ekuitas. Termasuk pula dalam CaLK adalah penyajian informasi yang diharuskan dan dianjurkan oleh Standar Akuntansi Pemerintahan serta pengungkapan-pengungkapan lainnya yang diperlukan untuk penyajian yang wajar atas laporan keuangan.</t>
  </si>
  <si>
    <t>C.11</t>
  </si>
  <si>
    <t>C.10</t>
  </si>
  <si>
    <t>A.5 Kebijakan Akuntansi</t>
  </si>
  <si>
    <t>Diisi Tugas dan Fungsi kantor, dan tujuan kantor didirikan</t>
  </si>
  <si>
    <t>----------&gt;</t>
  </si>
  <si>
    <t xml:space="preserve">REKAP REALISASI PER AKUN </t>
  </si>
  <si>
    <t>SAMPAI DENGAN 30 JUNI 2015</t>
  </si>
  <si>
    <t>AKUN</t>
  </si>
  <si>
    <t>PENGEMBALIAN</t>
  </si>
  <si>
    <t>NETTO</t>
  </si>
  <si>
    <t>PENDAPATAN (Diambil dari LRA Pendapatan)</t>
  </si>
  <si>
    <t>BELANJA (Diambil dari LRA Belanja)</t>
  </si>
  <si>
    <t>Pengemb.</t>
  </si>
  <si>
    <t>C.  PENJELASAN ATAS POS-POS NERACA</t>
  </si>
  <si>
    <t>B.  PENJELASAN ATAS POS-POS LAPORAN REALISASI ANGGARAN</t>
  </si>
  <si>
    <t>JUMLAH PENDAPATAN</t>
  </si>
  <si>
    <t>B.1</t>
  </si>
  <si>
    <t>B.2</t>
  </si>
  <si>
    <t>B.3</t>
  </si>
  <si>
    <t>B.4</t>
  </si>
  <si>
    <t>B.5</t>
  </si>
  <si>
    <t>B.6</t>
  </si>
  <si>
    <t>% thd Angg</t>
  </si>
  <si>
    <t>Penyisihan Piutang Tak Tertagih-Piutang Lancar</t>
  </si>
  <si>
    <t>Pendapatan yang Masih Harus Diterima</t>
  </si>
  <si>
    <t>C.23</t>
  </si>
  <si>
    <t>C.24</t>
  </si>
  <si>
    <t>C.25</t>
  </si>
  <si>
    <t>C.26</t>
  </si>
  <si>
    <t>C.27</t>
  </si>
  <si>
    <t>Pendapatan yang Ditangguhkan</t>
  </si>
  <si>
    <t>Beban yang Masih Harus Dibayar</t>
  </si>
  <si>
    <t>C.28</t>
  </si>
  <si>
    <t>C.29</t>
  </si>
  <si>
    <t>C.30</t>
  </si>
  <si>
    <t>D.1</t>
  </si>
  <si>
    <t>D.2</t>
  </si>
  <si>
    <t>D.3</t>
  </si>
  <si>
    <t>Beban Barang dan Jasa</t>
  </si>
  <si>
    <t xml:space="preserve">Beban Pemeliharaan </t>
  </si>
  <si>
    <t>D.4</t>
  </si>
  <si>
    <t>D.5</t>
  </si>
  <si>
    <t>D.6</t>
  </si>
  <si>
    <t>D.7</t>
  </si>
  <si>
    <t>D.8</t>
  </si>
  <si>
    <t>D.9</t>
  </si>
  <si>
    <t>E.1</t>
  </si>
  <si>
    <t>E.2</t>
  </si>
  <si>
    <t>E.3</t>
  </si>
  <si>
    <t>E.4</t>
  </si>
  <si>
    <t>E.5</t>
  </si>
  <si>
    <t xml:space="preserve"> &lt;--- Isikan titik-titik disamping sesuai dengan  keadaan yang sesungguhnya dan akhiri dengan tanda petik dua</t>
  </si>
  <si>
    <t xml:space="preserve"> &lt;--- Isikan titik-titik disamping sesuai dengan keadaan yang sesungguhnya dan akhiri dengan tanda petik dua</t>
  </si>
  <si>
    <t xml:space="preserve"> &lt;--- Isikan titik-titik disamping sesuai dengan  visi dan langkah-langkah strategis yang ada dan akhiri dengan tanda petik dua</t>
  </si>
  <si>
    <t xml:space="preserve">&lt;--- Isikan juga Visi dan Misi kantor </t>
  </si>
  <si>
    <r>
      <t xml:space="preserve">Kewajiban jangka pendek meliputi Utang Kepada Pihak Ketiga, Belanja yang Masih Harus Dibayar, Pendapatan Diterima Di Muka, Bagian Lancar Utang Jangka Panjang, </t>
    </r>
    <r>
      <rPr>
        <sz val="11"/>
        <color theme="1"/>
        <rFont val="Cambria"/>
        <family val="1"/>
        <scheme val="major"/>
      </rPr>
      <t>dan Utang Jangka Pendek Lainnya.</t>
    </r>
  </si>
  <si>
    <t xml:space="preserve">a. </t>
  </si>
  <si>
    <r>
      <rPr>
        <sz val="12"/>
        <color theme="1"/>
        <rFont val="Cambria"/>
        <family val="1"/>
        <scheme val="major"/>
      </rPr>
      <t>Beban adalah p</t>
    </r>
    <r>
      <rPr>
        <sz val="12"/>
        <color rgb="FF000000"/>
        <rFont val="Cambria"/>
        <family val="1"/>
        <scheme val="major"/>
      </rPr>
      <t xml:space="preserve">enurunan manfaat ekonomi atau potensi jasa dalam periode pelaporan yang menurunkan ekuitas, yang dapat berupa pengeluaran atau konsumsi aset atau timbulnya kewajiban. </t>
    </r>
  </si>
  <si>
    <t>Diisi dengan dasar peraturan kantor didirikan</t>
  </si>
  <si>
    <t xml:space="preserve">SAI terdiri dari Sistem Akuntansi Instansi Berbasis Akrual (SAIBA) dan Sistem Informasi Manajemen dan Akuntansi Barang Milik Negara (SIMAK-BMN). SAI dirancang untuk menghasilkan Laporan Keuangan Satuan Kerja yang terdiri dari Laporan Realisasi Anggaran, Neraca, Laporan Operasional, dan Laporan Perubahan Ekuitas. Sedangkan SIMAK-BMN adalah sistem yang menghasilkan informasi aset tetap, persediaan, dan aset lainnya untuk penyusunan neraca dan laporan barang milik negara  serta laporan manajerial lainnya. </t>
  </si>
  <si>
    <r>
      <t xml:space="preserve">Basis akrual adalah </t>
    </r>
    <r>
      <rPr>
        <sz val="12"/>
        <color rgb="FF000000"/>
        <rFont val="Cambria"/>
        <family val="1"/>
        <scheme val="major"/>
      </rPr>
      <t xml:space="preserve">basis akuntansi yang mengakui pengaruh transaksi dan peristiwa lainnya pada saat transaksi dan peristiwa itu terjadi, tanpa memperhatikan saat kas atau setara kas diterima atau dibayarkan. Sedangkan basis kas adalah basis akuntansi yang mengakui pengaruh transaksi atau peristiwa lainnya pada saat kas atau setara kas diterima atau dibayar. </t>
    </r>
    <r>
      <rPr>
        <sz val="12"/>
        <color theme="1"/>
        <rFont val="Cambria"/>
        <family val="1"/>
        <scheme val="major"/>
      </rPr>
      <t>Hal ini sesuai dengan Standar Akuntansi Pemerintahan (SAP) yang telah ditetapkan dengan Peraturan Pemerintah Nomor 71 Tahun 2010 tentang Standar Akuntansi Pemerintahan.</t>
    </r>
    <r>
      <rPr>
        <i/>
        <sz val="12"/>
        <color rgb="FF000000"/>
        <rFont val="Cambria"/>
        <family val="1"/>
        <scheme val="major"/>
      </rPr>
      <t xml:space="preserve"> </t>
    </r>
  </si>
  <si>
    <t>(1)</t>
  </si>
  <si>
    <t>Investasi Jangka Pendek BLU dalam bentuk surat berharga disajikan sebesar nilai perolehan sedangkan investasi dalam bentuk deposito dicatat sebesar nilai nominal.</t>
  </si>
  <si>
    <t>Piutang diakui apabila memenuhi kriteria sebagai berikut :</t>
  </si>
  <si>
    <t>a)</t>
  </si>
  <si>
    <t>b)</t>
  </si>
  <si>
    <t>Piutang yang timbul dari Tuntutan Perbendaharaan/Ganti Rugi apabila telah timbul hak yang didukung dengan Surat Keterangan Tanggung Jawab Mutlak dan/atau telah dikeluarkannya surat keputusan yang mempunyai kekuatan hukum tetap.</t>
  </si>
  <si>
    <t>Piutang yang timbul dari Perikatan diakui apabila terdapat peristiwa yang menimbulkan hak tagih dan didukung dengan naskah perjanjian yang menyatakan hak dan kewajiban secara jelas serta jumlahnya bisa diukur dengan andal.</t>
  </si>
  <si>
    <t xml:space="preserve">Tagihan Penjualan Angsuran (TPA) dan Tuntutan Perbendaharaan/ Ganti Rugi (TP/TGR) yang akan jatuh tempo 12 (dua belas) bulan setelah tanggal neraca disajikan sebagai Bagian Lancar TP/TGR atau Bagian Lancar TPA. </t>
  </si>
  <si>
    <t>Nilai Persediaan dicatat berdasarkan hasil inventarisasi fisik pada tanggal neraca dikalikan dengan:</t>
  </si>
  <si>
    <r>
      <rPr>
        <sz val="12"/>
        <color theme="1"/>
        <rFont val="Cambria"/>
        <family val="1"/>
      </rPr>
      <t>¤</t>
    </r>
    <r>
      <rPr>
        <sz val="12"/>
        <color theme="1"/>
        <rFont val="Cambria"/>
        <family val="1"/>
        <scheme val="major"/>
      </rPr>
      <t xml:space="preserve">  </t>
    </r>
  </si>
  <si>
    <t>harga pembelian terakhir, apabila diperoleh dengan pembelian;</t>
  </si>
  <si>
    <t>harga standar apabila diperoleh dengan memproduksi sendiri;</t>
  </si>
  <si>
    <t>¤ </t>
  </si>
  <si>
    <t xml:space="preserve">harga wajar atau estimasi nilai penjualannya apabila diperoleh dengan cara lainnya.  </t>
  </si>
  <si>
    <t xml:space="preserve">b. </t>
  </si>
  <si>
    <t>Aset Tetap yang tidak digunakan dalam kegiatan operasional pemerintah yang disebabkan antara lain karena aus, ketinggalan jaman, tidak sesuai dengan kebutuhan organisasi yang makin berkembang, rusak berat, tidak sesuai dengan rencana umum tata ruang (RUTR) atau masa kegunaannya telah berakhir direklasifikasi ke Aset Lain-Lain pad pos Aset Lainnya</t>
  </si>
  <si>
    <t>Aset Tetap yang secara permanen dihentikan penggunaannya, dikeluarkan dari neraca pada saat ada penetapan dari entitas sesuai dengan ketentuan perundang-undangan di bidang pengelolaan BMN/BMD.</t>
  </si>
  <si>
    <t xml:space="preserve">c. </t>
  </si>
  <si>
    <t>Penyusutan  aset  tetap  adalah  penyesuaian  nilai  sehubungan  dengan penurunan kapasitas dan manfaat dari suatu aset tetap.</t>
  </si>
  <si>
    <t>5 s.d. 40 tahun</t>
  </si>
  <si>
    <t>Aset Tetap Lainnya (Alat Musik Modern)</t>
  </si>
  <si>
    <t xml:space="preserve">Piutang Jangka Panjang adalah piutang yang diharapkan/dijadwalkan akan diterima dalam jangka waktu lebih dari 12 (dua belas) bulan setelah tanggal pelaporan. </t>
  </si>
  <si>
    <t>Tagihan Penjualan Angsuran (TPA), Tagihan Tuntutan Perbendaharaan/Tuntutan Ganti Rugi (TP/TGR) dinilai berdasarkan nilai nominal dan disajikan sebesar nilai yang dapat direalisasikan.</t>
  </si>
  <si>
    <t>e.</t>
  </si>
  <si>
    <t xml:space="preserve">Aset Lainnya adalah aset pemerintah selain aset lancar, aset tetap, dan piutang jangka panjang. Termasuk dalam Aset Lainnya adalah Aset Tak Berwujud, tagihan penjualan angsuran yang jatuh tempo lebih dari 12 (dua belas) bulan, aset kerjasama dengan pihak ketiga (kemitraan) dan kas yang dibatasi penggunaannya. </t>
  </si>
  <si>
    <t>Aset Tak Berwujud (ATB) disajikan sebesar nilai tercatat neto yaitu sebesar harga perolehan setelah dikurangi akumulasi amortisasi.</t>
  </si>
  <si>
    <t>Amortisasi ATB dengan masa manfaat terbatas dilakukan dengan metode garis lurus dan nilai sisa nihil. Sedangkan atas ATB dengan masa manfaat tidak terbatas tidak dilakukan amortisasi.</t>
  </si>
  <si>
    <t>Aset Lain-lain berupa aset tetap pemerintah disajikan sebesar nilai buku yaitu harga perolehan dikurangi akumulasi penyusutan.</t>
  </si>
  <si>
    <t>Ekuitas merupakan selisih antara aset dengan kewajiban dalam satu periode. Pengungkapan lebih lanjut dari ekuitas disajikan dalam Laporan Perubahan Ekuitas.</t>
  </si>
  <si>
    <t>(7)</t>
  </si>
  <si>
    <t xml:space="preserve">(6) </t>
  </si>
  <si>
    <t xml:space="preserve">Rincian estimasi pendapatan dan realisasinya adalah sebagai berikut : </t>
  </si>
  <si>
    <t>Rincian Estimasi dan Realisasi Pendapatan</t>
  </si>
  <si>
    <r>
      <t xml:space="preserve">B.3   Belanja Pegawai </t>
    </r>
    <r>
      <rPr>
        <sz val="12"/>
        <color rgb="FF0000FF"/>
        <rFont val="Cambria"/>
        <family val="1"/>
        <scheme val="major"/>
      </rPr>
      <t> </t>
    </r>
  </si>
  <si>
    <r>
      <t>B.4  Belanja Barang</t>
    </r>
    <r>
      <rPr>
        <sz val="12"/>
        <color rgb="FF0000FF"/>
        <rFont val="Cambria"/>
        <family val="1"/>
        <scheme val="major"/>
      </rPr>
      <t> </t>
    </r>
  </si>
  <si>
    <t>B.5  Belanja Modal</t>
  </si>
  <si>
    <t>Belanja Modal Peralatan dan Mesin</t>
  </si>
  <si>
    <t>Belanja Modal Gedung dan Bangunan</t>
  </si>
  <si>
    <t>Belanja Modal Jalan, Irigasi dan Jaringan</t>
  </si>
  <si>
    <t>Kas Lainnya dan Setara Kas merupakan kas pada bendahara pengeluaran yang bukan berasal dari UP/TUP, kas lainnya dan setara kas. Setara kas  yaitu investasi jangka pendek yang siap dicairkan menjadi kas dalam jangka waktu 3 bulan atau kurang sejak tanggal pelaporan. Rincian sumber Kas Lainnya dan Setara Kas pada tanggal pelaporan adalah sebagai berikut :</t>
  </si>
  <si>
    <t>ISIKAN RINCIAN KAS LAINNYA PER-31 DESEMBER 2015 dan 2014</t>
  </si>
  <si>
    <t>Kas Lainnya di Bendahara Pengeluaran</t>
  </si>
  <si>
    <t>Kas Lainnya di Bendahara Penerimaan</t>
  </si>
  <si>
    <t>Kas Lainnya dari Hibah</t>
  </si>
  <si>
    <t>Piutang Lainnya</t>
  </si>
  <si>
    <t>Jenis Piutang yang ada pada Satker isikan di samping ini :</t>
  </si>
  <si>
    <t xml:space="preserve">Penyisihan Piutang Tak Tertagih – Piutang Lancar adalah merupakan estimasi atas ketidaktertagihan piutang lancar yang ditentukan oleh kualitas piutang masing-masing debitur. Rincian Penyisihan Piutang Tak Tertagih- Piutang Lancar pada tanggal pelaporan adalah sebagai berikut : </t>
  </si>
  <si>
    <t>Beban dibayar dimuka merupakan hak yang masih harus diterima setelah tanggal neraca sebagai akibat dari barang/jasa telah dibayarkan secara penuh namun barang atau jasa belum diterima seluruhnya. Rincian Belanja dibayar di muka adalah sebagai berikut :</t>
  </si>
  <si>
    <t>Perbandingan Rincian Pendapatan yang Masih Diterima</t>
  </si>
  <si>
    <t>Persediaan adalah aset lancar dalam bentuk barang atau perlengkapan yang dimaksudkan untuk mendukung kegiatan operasional pemerintah dan/atau untuk dijual, dan/atau diserahkan dalam rangka pelayanan kepada masyarakat.</t>
  </si>
  <si>
    <t>Semua jenis persediaan pada tanggal pelaporan berada dalam kondisi baik.</t>
  </si>
  <si>
    <t>C.14  Tanah</t>
  </si>
  <si>
    <t xml:space="preserve">Transaksi penambahan dan pengurangan Gedung dan Bangunan dapat dijelaskan sebagai berikut: </t>
  </si>
  <si>
    <t>Isikan sesuai dengan mutasi penambahan peralatan dan mesin</t>
  </si>
  <si>
    <t>Isikan sesuai dengan mutasi tambah dan kurang Gedung dan Bangunan</t>
  </si>
  <si>
    <t>Rincian aset tetap Gedung dan Bangunan disajikan pada Lampiran Laporan Keuangan ini.</t>
  </si>
  <si>
    <t>Rincian Aset Tetap Lainnya disajikan pada Lampiran Laporan Keuangan ini</t>
  </si>
  <si>
    <t>Rincian lebih lanjut terkait Konstruksi Dalam Pengerjaan disajikan dalam lampiran.</t>
  </si>
  <si>
    <t>C.20  Akumulasi Penyusutan Aset Tetap</t>
  </si>
  <si>
    <t>C.21  Aset Tak Berwujud</t>
  </si>
  <si>
    <t>Isikan nilai akumulasi penyusutannya</t>
  </si>
  <si>
    <t>Rincian akumulasi penyusutan aset tetap disajikan dalam lampiran laporan keuangan ini.</t>
  </si>
  <si>
    <t>Aset Tetap........</t>
  </si>
  <si>
    <t>Rincian Aset Lain-lain berdasarkan nilai perolehan, akumulasi penyusutan dan nilai buku tersaji pada Lampiran Laporan Keuangan ini.</t>
  </si>
  <si>
    <t>Rincian Akumulasi Penyusutan dan Amortisasi Aset Lainnya</t>
  </si>
  <si>
    <t>C.24  Uang Muka dari KPPN</t>
  </si>
  <si>
    <t>C.23  Akumulasi Penyusutan dan Amortisasi Aset Lainnya</t>
  </si>
  <si>
    <t>C.25  Utang kepada Pihak Ketiga</t>
  </si>
  <si>
    <t>D.4  Beban Barang dan Jasa</t>
  </si>
  <si>
    <t>Beban Penyisihan Piutang Tak Tertagih - Piutang Lancar</t>
  </si>
  <si>
    <t>Beban Penyisihan Piutang Tak Tertagih - Piutang Non Lancar</t>
  </si>
  <si>
    <t>Untuk Belanja Modal, Isikan alasan perubahan di kotak ini:</t>
  </si>
  <si>
    <t>B.5.1  Belanja Modal Tanah</t>
  </si>
  <si>
    <t>B.5.2  Belanja Modal Peralatan dan Mesin</t>
  </si>
  <si>
    <t>B.5.3  Belanja Modal Gedung dan Bangunan</t>
  </si>
  <si>
    <t>B.5.4  Belanja Modal Jalan, Irigasi dan Jaringan</t>
  </si>
  <si>
    <t>B.5.5  Belanja Modal Lainnya</t>
  </si>
  <si>
    <t>B.6  Belanja Bantuan Sosial</t>
  </si>
  <si>
    <t>Belanja bantuan sosial yang disalurkan adalah dalam bentuk barang. Bantuan ini diberikan kepada kelompok-kelompok masyarakat yang mengalami masalah sosial yaitu rendahnya tingkat pendidikan yang disebabkan banyaknya daerah miskin.</t>
  </si>
  <si>
    <t>Jumlah Belanja Modal</t>
  </si>
  <si>
    <t>419520</t>
  </si>
  <si>
    <t>361156</t>
  </si>
  <si>
    <t>361160</t>
  </si>
  <si>
    <t>361172</t>
  </si>
  <si>
    <t>045130</t>
  </si>
  <si>
    <t>402156</t>
  </si>
  <si>
    <t>402157</t>
  </si>
  <si>
    <t>RSU KOTA YOGYAKARTA</t>
  </si>
  <si>
    <t>DINAS KESEHATAN KAB. SLEMAN</t>
  </si>
  <si>
    <t>400788</t>
  </si>
  <si>
    <t>DEKONSENTRASI BIDANG PERUMAHAN DINAS PEKERJAAN UMUM, PERUMAHAN, DAN ENERGI SUMBER DAYA MINERAL PROV. D.I. YOGYAKARTA</t>
  </si>
  <si>
    <t>419397</t>
  </si>
  <si>
    <t>DINAS PEKERJAAN UMUM, PERUMAHAN DAN ENERGI SUMBER DAYA MINERAL PROVINSI D.I. YOGYAKARTA</t>
  </si>
  <si>
    <t>419459</t>
  </si>
  <si>
    <t>Untuk Aset Tetap Lainnya, Isikan alasan di kotak ini:</t>
  </si>
  <si>
    <t>Untuk PNBP, Isikan penjelasan naik/turun realisasi pendapatan di kotak ini:</t>
  </si>
  <si>
    <t>Untuk Belanja Negara, Isikan penjelasan naik/turun realisasi di kotak ini:</t>
  </si>
  <si>
    <t>Untuk belanja pegawai Isikan penjelasan naik/turun realisasi di kotak ini:</t>
  </si>
  <si>
    <t>Untuk Belanja Barang, Isikan penjelasan naik/turun di kotak ini:</t>
  </si>
  <si>
    <t>tidak mengalami perubahan / Nihil.</t>
  </si>
  <si>
    <t>Hal ini disebabkan ..........??????? (jelaskan seperlunya)</t>
  </si>
  <si>
    <t>ISIKAN LANGSUNG PADA TABEL APABILA ADA REALISASI, KALO TIDAK ADA REALISASI KOSONGKAN !!!</t>
  </si>
  <si>
    <t>ISIKAN LANGSUNG PADA TABEL JIKA ADA ESTIMASI PENDAPATAN</t>
  </si>
  <si>
    <t>Untuk Belanja Modal Jalan, Irigasi dan Jaringan, Isikan alasan perubahan di kotak ini:</t>
  </si>
  <si>
    <t>Hal ini disebabkan penambahan jaringan LAN ...... ????? (jelaskan seperlunya)</t>
  </si>
  <si>
    <t>ISIKAN LANGSUNG PADA TABEL JIKA ADA REALISASI, APABILA TIDAK ADA REALISASI KOSONGKAN !!!</t>
  </si>
  <si>
    <t>Hal ini disebabkan ............ ????? (jelaskan secukupnya)</t>
  </si>
  <si>
    <t>Untuk Belanja Bantuan Sosial, Isikan alasan perubahan di kotak ini:</t>
  </si>
  <si>
    <t>Untuk Belanja Modal Lainnya, Isikan alasan perubahan di kotak ini:</t>
  </si>
  <si>
    <t>ISIKAN LANGSUNG PADA TABEL JIKA ADA REALISASI, APABILA TIDAK ADA REALISASI KOSONGKAN DAN HAPUS URAIAN BELANJA !!!</t>
  </si>
  <si>
    <t>ISIKAN LANGSUNG PADA TABEL APABILA ADA REALISASI, KALO TIDAK ADA REALISASI, KOSONGKAN DAN HAPUS URAIAN BELANJA !!!</t>
  </si>
  <si>
    <t>(lihat neraca percobaan basis kas bruto, kode trn 3)</t>
  </si>
  <si>
    <t>Perhatikan sheet yang berwarna hijau, perlu ada inputan manual</t>
  </si>
  <si>
    <t>Pada saat akan mencetak CaLK, Sheet 11 s.d. 16, Background cell warna ORANGE agar diganti dengan NO FILL</t>
  </si>
  <si>
    <t>Pendapatan Penyelesaian Kewajiban Jangka Panjang</t>
  </si>
  <si>
    <t>Belanja Barang Persediaan</t>
  </si>
  <si>
    <t>TA 2016</t>
  </si>
  <si>
    <t>Penyesuaian Nilai Aset</t>
  </si>
  <si>
    <t>Kas di Bendahara Penerimaan tersebut keseluruhannya telah disetorkan ke rekening Kas Negara sebagaimana tabel di bawah ini:</t>
  </si>
  <si>
    <t>Nomor NTPN</t>
  </si>
  <si>
    <t>Tanggal Setor</t>
  </si>
  <si>
    <t>Bahan Persediaan Lainnya untuk Dijual/Diserahkan ke Masyarakat</t>
  </si>
  <si>
    <t>Bahan Baku</t>
  </si>
  <si>
    <t>Beban Sewa</t>
  </si>
  <si>
    <t>Beban Persediaan Bahan Baku</t>
  </si>
  <si>
    <t>Beban Persediaan bahan untuk pemeliharaan</t>
  </si>
  <si>
    <t>Surplus/(Defisit) Pelepasan Aset Non Lancar</t>
  </si>
  <si>
    <t>Surplus/(Defisit) Penyelesaian Kewajiban Jangka Panjang</t>
  </si>
  <si>
    <t>Surplus/(Defisit) Dari Kegiatan Non Operasional Lainnya</t>
  </si>
  <si>
    <t>Beban Langganan Listrik</t>
  </si>
  <si>
    <t>Beban Langganan Telepon</t>
  </si>
  <si>
    <t>Beban Honor Operasional Satuan Kerja</t>
  </si>
  <si>
    <t>Beban Honor Output Kegiatan</t>
  </si>
  <si>
    <t>Beban Barang Non Operasional Lainnya</t>
  </si>
  <si>
    <t>Beban Keperluan Perkantoran</t>
  </si>
  <si>
    <t>Beban Penambah Daya Tahan Tubuh</t>
  </si>
  <si>
    <t>427775</t>
  </si>
  <si>
    <t>BALAI KONSERVASI BOROBUDUR</t>
  </si>
  <si>
    <t>427801</t>
  </si>
  <si>
    <t>BALAI PELESTARIAN CAGAR BUDAYA JAWA TIMUR</t>
  </si>
  <si>
    <t>427832</t>
  </si>
  <si>
    <t>BALAI PELESTARIAN CAGAR BUDAYA JAWA TENGAH</t>
  </si>
  <si>
    <t>427843</t>
  </si>
  <si>
    <t>BALAI PELESTARIAN SITUS MANUSIA PURBA SANGIRAN</t>
  </si>
  <si>
    <t>427894</t>
  </si>
  <si>
    <t>KANTOR MUSEUM SUMPAH PEMUDA, JAKARTA</t>
  </si>
  <si>
    <t>526044</t>
  </si>
  <si>
    <t>BALAI PELESTARIAN CAGAR BUDAYA ACEH</t>
  </si>
  <si>
    <t>526065</t>
  </si>
  <si>
    <t>BALAI PELESTARIAN CAGAR BUDAYA JAMBI</t>
  </si>
  <si>
    <t>001</t>
  </si>
  <si>
    <t>KPPN BANDA ACEH</t>
  </si>
  <si>
    <t>KPPN JAMBI</t>
  </si>
  <si>
    <t>KPPN JAKARTA III</t>
  </si>
  <si>
    <t>098</t>
  </si>
  <si>
    <t>KPPN MOJOKERTO</t>
  </si>
  <si>
    <t>KPPN MAGELANG</t>
  </si>
  <si>
    <t>148</t>
  </si>
  <si>
    <t>KPPN KLATEN</t>
  </si>
  <si>
    <t>162</t>
  </si>
  <si>
    <t>KPPN SRAGEN</t>
  </si>
  <si>
    <t>KEMENTERIAN PENDIDIKAN DAN KEBUDAYAAN</t>
  </si>
  <si>
    <t>Daftar Tabel</t>
  </si>
  <si>
    <t>iv</t>
  </si>
  <si>
    <t>Rincian Penyisihan Piutang Tak Tertagih - Piutang Lancar</t>
  </si>
  <si>
    <t>Rincian Belanja Dibayar di Muka</t>
  </si>
  <si>
    <t>Rincian Penyisihan Piutang Tak Tertagih - Jangka Panjang</t>
  </si>
  <si>
    <t>Tabel 32</t>
  </si>
  <si>
    <t>Tabel 33</t>
  </si>
  <si>
    <t>Tabel 34</t>
  </si>
  <si>
    <t>Tabel 35</t>
  </si>
  <si>
    <t>Tabel 36</t>
  </si>
  <si>
    <t>Tabel 37</t>
  </si>
  <si>
    <t>Tabel 38</t>
  </si>
  <si>
    <t>Tabel 39</t>
  </si>
  <si>
    <t>Tabel 40</t>
  </si>
  <si>
    <t>Tabel 41</t>
  </si>
  <si>
    <t>Tabel 42</t>
  </si>
  <si>
    <t>Tabel 43</t>
  </si>
  <si>
    <t>Tabel 44</t>
  </si>
  <si>
    <t>Tabel 45</t>
  </si>
  <si>
    <t>Tabel 46</t>
  </si>
  <si>
    <t>Tabel 47</t>
  </si>
  <si>
    <t>Tabel 48</t>
  </si>
  <si>
    <t>Tabel 49</t>
  </si>
  <si>
    <t>Tabel 50</t>
  </si>
  <si>
    <t>Tabel 51</t>
  </si>
  <si>
    <t>Tabel 52</t>
  </si>
  <si>
    <t>Tabel 53</t>
  </si>
  <si>
    <t>Beban Pengiriman Surat Dinas Pos Pusat</t>
  </si>
  <si>
    <t xml:space="preserve">     Mutasi Kurang:</t>
  </si>
  <si>
    <t>Mutasi pengurangan peralatan dan mesin berupa:</t>
  </si>
  <si>
    <t>Mutasi penambahan peralatan dan mesin berupa:</t>
  </si>
  <si>
    <t>KOREKSI YANG MENAMBAH / MENGURANGI EKUITAS</t>
  </si>
  <si>
    <t>Koreksi Lain-lain</t>
  </si>
  <si>
    <t>Beban Jasa Konsultan</t>
  </si>
  <si>
    <t>Belanja adalah semua pengeluaran dari Rekening Kas Umum Negara yang mengurangi Saldo Anggaran Lebih dalam periode tahun anggaran yang bersangkutan yang tidak akan diperoleh pembayarannya kembali oleh pemerintah.</t>
  </si>
  <si>
    <t>Pendapatan Denda diakui pada saat dikeluarkannya surat keputusan denda atau dokumen lain yang dipersamakan.</t>
  </si>
  <si>
    <t>Pendapatan Jasa Pelatihan diakui setelah pelatihan selesai dilaksanakan</t>
  </si>
  <si>
    <t>o</t>
  </si>
  <si>
    <r>
      <t>Piutang disajikan dalam neraca pada nilai yang dapat direalisasikan (</t>
    </r>
    <r>
      <rPr>
        <i/>
        <sz val="12"/>
        <color theme="1"/>
        <rFont val="Cambria"/>
        <family val="1"/>
        <scheme val="major"/>
      </rPr>
      <t>net realizable value</t>
    </r>
    <r>
      <rPr>
        <sz val="12"/>
        <color theme="1"/>
        <rFont val="Cambria"/>
        <family val="1"/>
        <scheme val="major"/>
      </rPr>
      <t xml:space="preserve">). Hal ini diwujudkan dengan membentuk penyisihan piutang tak tertagih. Penyisihan tersebut didasarkan atas kualitas piutang yang ditentukan berdasarkan jatuh tempo dan upaya penagihan yang dilakukan pemerintah. Perhitungan penyisihannya adalah sebagai berikut : </t>
    </r>
  </si>
  <si>
    <t>Masa Manfaat Aset Tak Berwujud ditentukan dengan berpedoman Keputusan Menteri Keuangan Nomor:620/KM.6/2015 tentang Masa Manfaat Dalam Rangka Amortisasi Barang Milik Negara berupa Aset Tak Berwujud pada Entitas Pemerintah Pusat. Secara umum tabel masa manfaat adalah sebagai berikut :</t>
  </si>
  <si>
    <t>Penggolongan Masa Manfaat Aset Tak Berwujud</t>
  </si>
  <si>
    <t>Kelompok Aset Tak Berwujud</t>
  </si>
  <si>
    <t xml:space="preserve">Masa Manfaat </t>
  </si>
  <si>
    <t>(tahun)</t>
  </si>
  <si>
    <t>Franchise</t>
  </si>
  <si>
    <t>Lisensi, Hak Paten Sederhana, Merk, Desain Industri, Rahasia Dagang, Desain Tata Letak Sirkuit Terpadu.</t>
  </si>
  <si>
    <t>Hak Ekonomi Lembaga Penyiaran, Paten Biasa, perlindungan varietas Tanaman Semusim.</t>
  </si>
  <si>
    <t>Hak Cipta Karya Seni terapan, Perlindungan Varietas Tanaman Tahunan.</t>
  </si>
  <si>
    <t>Hak Cipta atas Ciptaan Gol.II, Hak Ekonomi Pelaku Pertunjukan, hak Ekonomi Prosedur Fonogram</t>
  </si>
  <si>
    <t>Hak Cipta atas Ciptaan Gol.I</t>
  </si>
  <si>
    <r>
      <t>Software</t>
    </r>
    <r>
      <rPr>
        <sz val="12"/>
        <rFont val="Cambria"/>
        <family val="1"/>
      </rPr>
      <t xml:space="preserve"> Komputer</t>
    </r>
  </si>
  <si>
    <t>Uang tunai</t>
  </si>
  <si>
    <t>Rekening Bank</t>
  </si>
  <si>
    <t>merupakan hak pemerintah atas pelayanan yang telah diberikan namun belum disampaikan tagihannya. Rincian Pendapatan yang Masih Harus Diterima berdasarkan jenis pendapatan sebagai berikut :</t>
  </si>
  <si>
    <t xml:space="preserve">Penyisihan Piutang Tak Tertagih – Jangka Panjang merupakan estimasi atas ketidaktertagihan Tagihan Tuntutan Perbendaharaan/Tuntutan ganti Rugi (TP/TGR) yang ditentukan oleh kualitas masing-masing piutang. Perhitungan Penyisihan Piutang tak Tertagih Jangka Panjang adalah sebagai berikut: </t>
  </si>
  <si>
    <t>Mutasi Aset Tetap Tanah tersebut dapat dijelaskan sebagai berikut:</t>
  </si>
  <si>
    <t>Revaluasi aset</t>
  </si>
  <si>
    <t>Mutasi transaksi terhadap Aset Tetap Lainnya per tanggal pelaporan adalah sebagai berikut :</t>
  </si>
  <si>
    <t>Koreksi Pencatatan</t>
  </si>
  <si>
    <t>Reklasifikasi keluar</t>
  </si>
  <si>
    <t>Transfer masuk</t>
  </si>
  <si>
    <t>Reklasifikasi masuk</t>
  </si>
  <si>
    <t>Amortisasi ATB dengan masa manfaat terbatas dilakukan dengan metode garis lurus dan nilai sisa nihil. Sedangkan ATB dengan masa manfaat tidak terbatas tidak dilakukan amortisasi.</t>
  </si>
  <si>
    <t>Pendapatan Jasa Giro yang belum disetor</t>
  </si>
  <si>
    <t>Potongan Pajak yang Belum Disetor</t>
  </si>
  <si>
    <t>C.26  Pendapatan Diterima di Muka</t>
  </si>
  <si>
    <t>Rincian Saldo Utang kepada Pihak Ketiga</t>
  </si>
  <si>
    <t>C.27  Beban yang Masih Harus Dibayar</t>
  </si>
  <si>
    <t>Jumlah Beban Persediaan</t>
  </si>
  <si>
    <t>D.11  Kegiatan Non Operasional</t>
  </si>
  <si>
    <t>Penyesuaian Nilai Aset merupakan hasil penyesuaian nilai persediaan akibat penerapan kebijakan harga perolehan terakhir.</t>
  </si>
  <si>
    <t>Barang Persediaan untuk pemeliharaan</t>
  </si>
  <si>
    <t>E.5 Ekuitas Akhir</t>
  </si>
  <si>
    <t>E.3.5 Koreksi Aset Tetap Non Revaluasi</t>
  </si>
  <si>
    <t>Rincian Koreksi Lain-lain</t>
  </si>
  <si>
    <t>Jumlah Koreksi</t>
  </si>
  <si>
    <t>E.4 Transaksi Antar Entitas</t>
  </si>
  <si>
    <t>Rincian Nilai Transaksi Antar Entitas</t>
  </si>
  <si>
    <t>Transaksi Antar Entitas</t>
  </si>
  <si>
    <t>Koreksi Beban</t>
  </si>
  <si>
    <t>Koreksi Pendapatan</t>
  </si>
  <si>
    <t>Koreksi Piutang</t>
  </si>
  <si>
    <t>Koreksi Kewajiban</t>
  </si>
  <si>
    <t>Koreksi Hibah</t>
  </si>
  <si>
    <t>Pengesahan Hibah langsung</t>
  </si>
  <si>
    <t>Rincian Transaksi Antar Entitas terdiri dari :</t>
  </si>
  <si>
    <t>E.4.1 Diterima dari Entitas Lain (DDEL)/Ditagihkan ke Entitas Lain (DKEL)</t>
  </si>
  <si>
    <t>E.4.2 Transfer Masuk/Transfer Keluar</t>
  </si>
  <si>
    <t xml:space="preserve">Jenis </t>
  </si>
  <si>
    <t>Entitas Asal</t>
  </si>
  <si>
    <t>E.4.3 Pengesahan Hibah Langsung dan Pengembalian Pengesahan Hibah Langsung</t>
  </si>
  <si>
    <t>Jenis Aset tetap</t>
  </si>
  <si>
    <t>Nilai Koreksi</t>
  </si>
  <si>
    <t>Penerima Hibah</t>
  </si>
  <si>
    <t>Bentuk Hibah</t>
  </si>
  <si>
    <t>Nilai Pengesahan</t>
  </si>
  <si>
    <t>Total Pengesahan</t>
  </si>
  <si>
    <t>Pengesahan Pengembalian Hibah</t>
  </si>
  <si>
    <t>Lampiran dan Daftar</t>
  </si>
  <si>
    <t xml:space="preserve">JUMLAH EKUITAS </t>
  </si>
  <si>
    <t>D.10</t>
  </si>
  <si>
    <t>D.11</t>
  </si>
  <si>
    <t>D.12</t>
  </si>
  <si>
    <t>E.3.1</t>
  </si>
  <si>
    <t>E.3.2</t>
  </si>
  <si>
    <t>E.3.3</t>
  </si>
  <si>
    <t>E.3.4</t>
  </si>
  <si>
    <t>E.3.5</t>
  </si>
  <si>
    <t>E.3.6</t>
  </si>
  <si>
    <t>Pendapatan Sewa Gedung diakui secara proporsional antara nilai dan periode waktu sewa.</t>
  </si>
  <si>
    <t>ANGGARAN AWAL</t>
  </si>
  <si>
    <t>ANGGARAN SETELAH REVISI</t>
  </si>
  <si>
    <t>Pendapatan</t>
  </si>
  <si>
    <t xml:space="preserve">Jumlah Pendapatan </t>
  </si>
  <si>
    <t>Luas</t>
  </si>
  <si>
    <t>Lokasi</t>
  </si>
  <si>
    <t>Software</t>
  </si>
  <si>
    <t>Beban Aset Ekstrakomtabel Peralatan dan Mesin</t>
  </si>
  <si>
    <t>Beban Aset Ekstrakomtabel Gedung dan Bangunan</t>
  </si>
  <si>
    <t>Beban Aset Ekstrakomtabel Aset Tetap Lainnya</t>
  </si>
  <si>
    <t>Beban Amortisasi Software</t>
  </si>
  <si>
    <t>E.2 Surplus (Defisit) LO</t>
  </si>
  <si>
    <t>E.3.6 Koreksi Lain-lain</t>
  </si>
  <si>
    <t>KATA PENGANTAR</t>
  </si>
  <si>
    <t>Jumlah Penerimaan Negara Bukan Pajak</t>
  </si>
  <si>
    <t>Aset dicatat sebesar pengeluaran/penggunaan sumber daya ekonomi atau sebesar nilai wajar dari imbalan yang diberikan untuk memperoleh aset tersebut. Kewajiban dicatat sebesar nilai wajar sumber daya ekonomi yang digunakan pemerintah untuk memenuhi kewajiban yang bersangkutan.</t>
  </si>
  <si>
    <t xml:space="preserve">Pengukuran pos-pos laporan keuangan menggunakan mata uang rupiah. Transaksi yang menggunakan mata uang asing ditranslasi terlebih dahulu dan dinyatakan dalam mata uang rupiah.
</t>
  </si>
  <si>
    <t>Kebijakan Akuntansi</t>
  </si>
  <si>
    <t>Rincian revisi DIPA awal dan DIPA Revisi Terakhir</t>
  </si>
  <si>
    <t>C.2  Kas di Bendahara Penerimaan</t>
  </si>
  <si>
    <t>C.1  Kas di Bendahara Pengeluaran</t>
  </si>
  <si>
    <t>C.3  Kas Lainnya dan Setara Kas</t>
  </si>
  <si>
    <t>C.4  Piutang PNBP</t>
  </si>
  <si>
    <t>C.5  Bagian Lancar Tagihan Tuntutan Perbendaharaan/Tuntutan Ganti Rugi (TP/TGR)</t>
  </si>
  <si>
    <t xml:space="preserve">C.6  Bagian Lancar Tagihan Penjualan Angsuran </t>
  </si>
  <si>
    <t>C.7  Penyisihan Piutang Tak Tertagih - Piutang Jangka Pendek</t>
  </si>
  <si>
    <t>C.9  Pendapatan yang Masih Harus Diterima</t>
  </si>
  <si>
    <t>C.8  Belanja Dibayar di Muka</t>
  </si>
  <si>
    <t>C.10  Persediaan</t>
  </si>
  <si>
    <t>C.11  Tagihan Tuntutan Perbendaharaan/Tuntutan Ganti Rugi (TP/TGR)</t>
  </si>
  <si>
    <t>C.12  Tagihan Penjualan Angsuran</t>
  </si>
  <si>
    <t>C.13  Penyisihan Piutang Tak Tertagih - Piutang Jangka Panjang</t>
  </si>
  <si>
    <t>C.15  Peralatan dan Mesin</t>
  </si>
  <si>
    <t>C.16  Gedung dan Bangunan</t>
  </si>
  <si>
    <t>C.17  Jalan, Irigasi dan Jaringan</t>
  </si>
  <si>
    <t>C.18  Aset Tetap Lainnya</t>
  </si>
  <si>
    <t>C.19  Konstruksi Dalam Pengerjaan (KDP)</t>
  </si>
  <si>
    <t>C.22  Aset Lain-Lain</t>
  </si>
  <si>
    <t>C.28  Ekuitas</t>
  </si>
  <si>
    <t>Beban Tunjangan Suami/Istri PNS</t>
  </si>
  <si>
    <t>Beban Tunjangan Anak PNS</t>
  </si>
  <si>
    <t>Beban Tunjangan Struktural PNS</t>
  </si>
  <si>
    <t>Beban Tunjangan PPh PNS</t>
  </si>
  <si>
    <t>Beban Tunjangan Beras PNS</t>
  </si>
  <si>
    <t>Beban Uang Makan PNS</t>
  </si>
  <si>
    <t>Beban Tunjangan Umum PNS</t>
  </si>
  <si>
    <t>Beban Gaji Pokok PNS</t>
  </si>
  <si>
    <t>Beban Pembulatan Gaji PNS</t>
  </si>
  <si>
    <t>D.12  Pos Luar Biasa</t>
  </si>
  <si>
    <t>E.3.1  Dampak kumulatif Perubahan Kebijakan Akuntansi / Kesalahan Mendasar</t>
  </si>
  <si>
    <t>Dampak Kumulatif Perubahan Kebijakan Akuntansi / Kesalahan Mendasar</t>
  </si>
  <si>
    <t>E.3.2  Penyesuaian Nilai Aset</t>
  </si>
  <si>
    <t>E.3.3  Koreksi Nilai Persediaan</t>
  </si>
  <si>
    <t>E.3.4  Selisih Revaluasi Aset Tetap</t>
  </si>
  <si>
    <t>Ditagihkan Ke Entitas lain</t>
  </si>
  <si>
    <t>Transaksi Pengelolaan Investasi BA BUN pada BLU</t>
  </si>
  <si>
    <t>Pengesahan Pengembalian Hibah Langsung</t>
  </si>
  <si>
    <t>Setoran Surplus BLU</t>
  </si>
  <si>
    <t>Diterima Dari Entitas Lain</t>
  </si>
  <si>
    <t>Akumulasi Penyusutan Peralatan dan Mesin</t>
  </si>
  <si>
    <t>PETUNJUK SINGKAT PENGISIAN CALK VERSI EXCEL TAHUN ANGGARAN 2016</t>
  </si>
  <si>
    <t>427826</t>
  </si>
  <si>
    <t>BALAI PELESTARIAN CAGAR BUDAYA BALI</t>
  </si>
  <si>
    <t>037</t>
  </si>
  <si>
    <t>KPPN DENPASAR</t>
  </si>
  <si>
    <t>Rincian Revisi DIPA Awal dan DIPA Revisi Terakhir</t>
  </si>
  <si>
    <t>Rincian Saldo Utang Kepada Pihak Ketiga</t>
  </si>
  <si>
    <t>Rincian Saldo Pendapatan Diterima di Muka</t>
  </si>
  <si>
    <t>Tabel 54</t>
  </si>
  <si>
    <t>Tabel 55</t>
  </si>
  <si>
    <t>189643</t>
  </si>
  <si>
    <t>SEKRETARIAT DIREKTORAT JENDERAL KEBUDAYAAN</t>
  </si>
  <si>
    <t>606393</t>
  </si>
  <si>
    <t>BALAI PELESTARIAN NILAI BUDAYA SUMATERA BARAT</t>
  </si>
  <si>
    <t>KPPN PADANG</t>
  </si>
  <si>
    <t>547705</t>
  </si>
  <si>
    <t>KANTOR MUSEUM PERUMUSAN NASKAH PROKLAMASI, JAKARTA</t>
  </si>
  <si>
    <t>025226</t>
  </si>
  <si>
    <t>MUSEUM KEPRESIDENAN REPUBLIK INDONESIA BALAI KIRTI</t>
  </si>
  <si>
    <t>189647</t>
  </si>
  <si>
    <t>DIREKTORAT SEJARAH</t>
  </si>
  <si>
    <t>621886</t>
  </si>
  <si>
    <t>KANTOR MUSEUM BASOEKI ABDULLAH, JAKARTA</t>
  </si>
  <si>
    <t>KPPN BOGOR</t>
  </si>
  <si>
    <t>422888</t>
  </si>
  <si>
    <t>KANTOR MUSEUM KEBANGKITAN NASIONAL, JAKARTA</t>
  </si>
  <si>
    <t>606408</t>
  </si>
  <si>
    <t>BALAI PELESTARIAN NILAI BUDAYA PAPUA</t>
  </si>
  <si>
    <t>568911</t>
  </si>
  <si>
    <t>BALAI PELESTARIAN NILAI BUDAYA BALI</t>
  </si>
  <si>
    <t>477803</t>
  </si>
  <si>
    <t>BALAI PELESTARIAN CAGAR BUDAYA MALUKU UTARA</t>
  </si>
  <si>
    <t>062</t>
  </si>
  <si>
    <t>KPPN TERNATE</t>
  </si>
  <si>
    <t>526051</t>
  </si>
  <si>
    <t>BALAI PELESTARIAN CAGAR BUDAYA SUMATERA BARAT</t>
  </si>
  <si>
    <t>009</t>
  </si>
  <si>
    <t>KPPN TANJUNG PINANG</t>
  </si>
  <si>
    <t>526003</t>
  </si>
  <si>
    <t>011</t>
  </si>
  <si>
    <t>KPPN BUKIT TINGGI</t>
  </si>
  <si>
    <t>BALAI PELESTARIAN NILAI BUDAYA KEPULAUAN RIAU</t>
  </si>
  <si>
    <t>KPPN JAYAPURA</t>
  </si>
  <si>
    <t>526019</t>
  </si>
  <si>
    <t>BALAI PELESTARIAN NILAI BUDAYA KALIMANTAN BARAT</t>
  </si>
  <si>
    <t>KPPN PONTIANAK</t>
  </si>
  <si>
    <t>DIREKTORAT WARISAN DAN DIPLOMASI BUDAYA</t>
  </si>
  <si>
    <t>189648</t>
  </si>
  <si>
    <t>TA 2017</t>
  </si>
  <si>
    <t>Isikan dengan : belum / sudah</t>
  </si>
  <si>
    <t>Kuitansi UP</t>
  </si>
  <si>
    <t>Tidak terjadi perubahan nilai terhadap tanah selama tahun anggaran 2017.</t>
  </si>
  <si>
    <t>Tidak terjadi perubahan nilai terhadap Jalan, Irigasi dan Jaringan selama tahun anggaran 2017.</t>
  </si>
  <si>
    <t>Tidak terjadi perubahan nilai terhadap Aset Tetap Lainnya selama tahun anggaran 2017.</t>
  </si>
  <si>
    <t>Rincian Penerimaan Hibah Langsung disajikan pada Lampiran.</t>
  </si>
  <si>
    <t>sudah</t>
  </si>
  <si>
    <t>Entitas tidak mempunyai bendahara penerimaan karena tidak mempunyai pendapatan rutin.</t>
  </si>
  <si>
    <t>Beban Langganan Air</t>
  </si>
  <si>
    <t>Beban Persediaan Suku Cadang</t>
  </si>
  <si>
    <t>Ringkasan Laporan Keuangan</t>
  </si>
  <si>
    <t>VI. LAMPIRAN DAN DAFTAR</t>
  </si>
  <si>
    <t>Lampiran dan daftar terdiri dari:</t>
  </si>
  <si>
    <t>Beban Pemeliharaan lainnya</t>
  </si>
  <si>
    <t xml:space="preserve">  </t>
  </si>
  <si>
    <t>Telaah Laporan Keuangan</t>
  </si>
  <si>
    <t>2018</t>
  </si>
  <si>
    <t>Rincian Pengesahan Hibah Tahun 2018</t>
  </si>
  <si>
    <t>Rincian Koreksi Aset Tetap Non Revaluasi Tahun 2018</t>
  </si>
  <si>
    <t>Rincian Perbandingan Beban yang Masih Dibayar TA 2018 dan TA 2017</t>
  </si>
  <si>
    <t>Pend. Lain-lain (4259)</t>
  </si>
  <si>
    <t>TA 2018</t>
  </si>
  <si>
    <t>Rincian Penyisihan Piutang Tak Tertagih-Jangka Panjang TA 2018</t>
  </si>
  <si>
    <t>Koreksi nilai aset</t>
  </si>
  <si>
    <t>Akumulasi Penyusutan s.d 30 September 2018</t>
  </si>
  <si>
    <t>Beban Bahan</t>
  </si>
  <si>
    <t>Koreksi Nilai Tim Penertiban Aset</t>
  </si>
  <si>
    <t>Jenis Aset Tetap</t>
  </si>
  <si>
    <t>Revaluasi Aset</t>
  </si>
  <si>
    <t>31 Desember 2018</t>
  </si>
  <si>
    <t>Nilai tersebut merupakan barang berlebih hasil revaluasi aset berupa gedung pos jaga permanen dan bangunan museum semi permanen.</t>
  </si>
  <si>
    <t>Memo Penyesuaian</t>
  </si>
  <si>
    <t>Berita Acara Rekonsiliasi Internal SAK dan SIMAK BMN</t>
  </si>
  <si>
    <t>Berita Acara Stock Opname Persediaan</t>
  </si>
  <si>
    <t>Laporan Persediaan</t>
  </si>
  <si>
    <t>Laporan BMN (Neraca, Intrakomptabel, Ekstrakomptabel, Barang bersejarah,Penyusutan Barang )</t>
  </si>
  <si>
    <t>Laporan SAIBA dan hasil rekonsiliasi dengan KPPN (Percobaan Akrual, Neraca Percobaan Kas, Neraca, Laporan Realisasi Anggaran, Laporan Realisasi Belanja, Laporan Pengembalian Belanja, Laporan Pendapatan, Laporan Pengembalian Pendapatan, LO dan LPE)</t>
  </si>
  <si>
    <t>Rekapitulasi Transaksi Penerimaan Negara</t>
  </si>
  <si>
    <t>DIPA Awal dan DIPA Revisi Terakhir/kedua (kanwil)</t>
  </si>
  <si>
    <t>Jalan Raya Dalung Abianbase No. 107, Dalung, Kuta Utara, Badung, Bali.</t>
  </si>
  <si>
    <t>Badung</t>
  </si>
  <si>
    <t>I Made Dharma Suteja,S.S.,M.Si</t>
  </si>
  <si>
    <t>197106161997031001</t>
  </si>
  <si>
    <t>Pendapatan dan Pemindatanganan BMN Lainnya (4251)</t>
  </si>
  <si>
    <t>Pendapatan Dari Pemindahtanganan BMN Lainnya</t>
  </si>
  <si>
    <t>Penerimaan Kembali Belanaj Pegawai Anggaran Yang lalu</t>
  </si>
  <si>
    <t>Pendapatan Penyesuaian Nilai Persediaan</t>
  </si>
  <si>
    <t>Beban Penyesuaian Nilai Persediaan</t>
  </si>
  <si>
    <t>Balai Pelestarian Nilai Budaya Bali didirikan sebagai salah satu upaya pemerintah untuk melestarikan kebudayaan di wilayah kerja yaitu provinsi Bali, Nusa Tenggara Barat dan Nusa Tenggara Timur. Organisasi dan tata kerja entitas diatur dengan Peraturan Menteri Pendidikan dan Kebudayaan nomor 40 Tahun 2015. Entitas berkedudukan di Jalan Raya Dalung Abianbase No.107 Dalung, Kuta Utara, Badung, Bali.</t>
  </si>
  <si>
    <t xml:space="preserve">Balai Pelestarian Nilai Budaya Bali mempunyai tugas yaitu melaksanakan pelestarian terhadap aspek-aspek tradisi, kepercayaan, kesenian, perfilman, dan kesejarahan di wilayah kerjanya. Fungsi yaitu pelaksanaan pengkajian, perlindungan, pengembangan, pemanfaatan, kemitraan, pendokumentasian di bidang tradisi, kepercyaan, kesenian, perfilman, dan kesejarahan, serta pelaksanaan urusan ketataushaan Balai Pelestarian Nilai Budaya Bali. Tujuan yang ingin dicapai dari tugas dan fungsi Balai PelestarianNilai Budaya Bali yaitu Melestarikan keanekaragaman kebudayaan suku bangsa Indonesia khususnya daerah Bali, Nusa Tenggara Barat, Nusa Tenggara Timur, selanjutnya untuk pengembangan kebudayaan nasional Indonesia. Rencana strategis Balai Pelestarian Nilai Budaya Bali merupakan dasar dan pedoman sebagai acuan dalam menyusun rencana kerja pemerintah (RKP), rencana kerja dan anggaran kementerian/lembaga (RKAKL), Laporan Tahunan dan Laporan Akuntabilitas Kinerja Instansi Pemerintah (LAKIP). </t>
  </si>
  <si>
    <t>Melaksanakan analisa dan pengembangan dalam rangka melestarikan nilai budaya</t>
  </si>
  <si>
    <t>Melaksnaakan penyebaran informasi kepada masyarakat tentang nilai budaya</t>
  </si>
  <si>
    <t>Melaksanakan bimbingan edukatif dan teknis kepada masyarakat dalam rangka pelestarian nilai budaya</t>
  </si>
  <si>
    <t>Hal ini disebabkan karena terdapat pegawai yang pensiun sebanyak 5 orang.jadi hal ini berdampak pada pengurangan belanja pegawai.</t>
  </si>
  <si>
    <t>Beban Tunjangan Fungsional PNS</t>
  </si>
  <si>
    <t>Beban barang Operasional lainnya</t>
  </si>
  <si>
    <t>Rekening Bank BNI</t>
  </si>
  <si>
    <t>Saldo Tanah per 30 September 2018 sebesar Rp. 15.750.000.000, mengalami perubahan sebesar Rp.3.600.000.000 dikarenakan adanya penilaian revaluasi aset.</t>
  </si>
  <si>
    <t>3600 m2</t>
  </si>
  <si>
    <t>Jalan Raya Dalung Abianbase No.107 Dalung, Kuta Utara, Badung, Bali</t>
  </si>
  <si>
    <t>0361-439547</t>
  </si>
  <si>
    <t>29 Januari 2019</t>
  </si>
  <si>
    <t>TA 2019</t>
  </si>
  <si>
    <t>31 Desember 2019</t>
  </si>
  <si>
    <t>ISIAN PENDAPATAN NEGARA BUKAN PAJAK (PNBP) TA 2019 DAN 2018</t>
  </si>
  <si>
    <t>ISIAN PENDAPATAN PERPAJAKAN TA 2019 dan 2018 (KHUSUS DITJEN PAJAK &amp; DITJEN BEA CUKAI)</t>
  </si>
  <si>
    <t>ISIAN PENDAPATAN BADAN LAYANAN UMUM (BLU) TA 2019 dan 2018</t>
  </si>
  <si>
    <t>ISIAN PENDAPATAN HIBAH TA 2019 dan 2018</t>
  </si>
  <si>
    <t>0777090900</t>
  </si>
  <si>
    <t>Balai Pelestarian Nilai Budaya Bali</t>
  </si>
  <si>
    <t>BNI Cabang Denpasar</t>
  </si>
  <si>
    <t>2019</t>
  </si>
  <si>
    <t>Koreksi Atas Rekalsifikasi</t>
  </si>
  <si>
    <t>Koreksi Atas Reklasifikasi</t>
  </si>
  <si>
    <t>E.3.7</t>
  </si>
  <si>
    <t>Hal ini disebabkan oleh adanya perubahan kegiatan sesuai dengan kebutuhan dan situasi serta kondisi pada saat pelaksanaan. perubahan tersebut berupa dana yang tidak dapat dicairkan dalam belanja barang serta perubahan jumlah nilai dalam akun yang mengakibatkan penambahan anggaran belanja barang atau pagu minus pada belanja pegawai. Berikut ini adalah anggaran awal dan anggaran setelah revisi :</t>
  </si>
  <si>
    <t>Lelang Sepeda Motor Merk Honda dan Pendapatan dari temuan perjadin tahun sebelumnya</t>
  </si>
  <si>
    <t>terdapat dua jenis pendapatan di tahun 2019 yaitu pendapatan lain-lain dari  hasil temuan tahun lalu dan pendapatan dari pemindahtanganan BMN berupa lelang sepeda motor merk Honda</t>
  </si>
  <si>
    <t>Hal ini disebabkan karena adanya penurunanan pada belanja barang pada tahun sebelumnya, terutama di perjalanan dina, adanya beberapa pegawai yang pensiun juga menjadi penurunan pada belanja pegawai</t>
  </si>
  <si>
    <t>Hal ini disebabkan karena adanya penghematan pada perjalan dinas di beberapa kegiatan rutin kantor</t>
  </si>
  <si>
    <t>Hal ini disebabkan karena ada pembelian peralatan mesin seperti Laptop sebanyak 5 buah, scanner 2 buah, pc desktop sebanyak 2 buah, Drone 2 buah, mesin penghancur kertas 2 buah, Pembuatan sekat ruangan, renovasi tembok kantor</t>
  </si>
  <si>
    <t>Hal ini disebabkan karena  ada pembelian peralatan mesin seperti 2 aptop sebanyak 5 buah, scanner 2 buah, pc desktop sebanyak 2 buah, Drone 2 buah, mesin penghancur kertas 2 buah,</t>
  </si>
  <si>
    <t>Belanja Modal gedung dan Bangunan</t>
  </si>
  <si>
    <t>Hal ini disebabkan dikarenakan  hanya melakukan renovasi berupa pembuatan sekat ruangan di gedung tengah, dan perbaikan pada tembok atau gapura kantor</t>
  </si>
  <si>
    <t>Saldo Nilai Perolehan per 31 Desember 2018</t>
  </si>
  <si>
    <t>Nilai Buku per 31 Desember 2019</t>
  </si>
  <si>
    <t xml:space="preserve">Pembelian peralatan dan mesin berupa 2 buah mesin ketik elektrik, 2 buah alat penghancur kertas, 1 buah LCD proyektor, 57 buah kursi besi, 3 buah AC split, 1 Buah Karpet, 1 buah DVD player, 2 buah kamera udara, 1 buah UPS/Satbilizer, 6 Buah PC unit, 5 buah Laptop, 2 buah Scanner, </t>
  </si>
  <si>
    <t xml:space="preserve">- 1 buah GPS, 1 buah Battery Handycam, 1 buah Lampu handycam, 1 buah lemari suhu, 1 buah stavol, </t>
  </si>
  <si>
    <t>Renovasi Tembok kantor berupa Gapura bagian depan bangunan kantor</t>
  </si>
  <si>
    <t>renovasi berupa pembuatan sekat ruangan di gendung tengah</t>
  </si>
  <si>
    <t>tidak ada kenaikan dan penurunan nilai jalan, irigasi dan jaringan, sama seperti tahun sebelumnya</t>
  </si>
  <si>
    <t>karena adanya pembelian barang bercorak budaya berupa kain songket dari Prov. NTT dan Bali yang menjadi aset tetap lainnya</t>
  </si>
  <si>
    <t>Pendapatan pelepasan aset non lancar meruapakan hasil dari lelang Sepeda motor Honda, seddangkan pendapatan lain di dapat dari pengembalian dana perjadin di tahun sebelumnya</t>
  </si>
  <si>
    <t>penurunan ini dikarenakan kondisi bangunan kantor rata-rata dalam kondisi yang baik jadi tidak memerlukan anggaran yang banyak untuk pemeliharaannya</t>
  </si>
  <si>
    <t>Pendapatan dari kegiatan non operasional lainnya</t>
  </si>
  <si>
    <t>Beban pelepasan aset non lancar</t>
  </si>
  <si>
    <t>terdapat perubahan akun yaitu akun 536111 belanja bangunan lainnya seharusnya menggunankan akun 533111</t>
  </si>
  <si>
    <t xml:space="preserve">Treadapat Jurnal umum dikarenakan kesalahan penggunaan akun untuk belanja kain bercorak kebudayaan menggunakan akun peralatan dan mesin.                </t>
  </si>
  <si>
    <t>Berita Acara Rekonsiliasi BPNB Bali dengan KPPN Denpasar</t>
  </si>
  <si>
    <t>LPJ Bendahara dan Rekening koran per 31 Desember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</si>
</sst>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Rp&quot;* #,##0_);_(&quot;Rp&quot;* \(#,##0\);_(&quot;Rp&quot;* &quot;-&quot;_);_(@_)"/>
    <numFmt numFmtId="165" formatCode="_(* #,##0_);_(* \(#,##0\);_(* &quot;-&quot;_);_(@_)"/>
    <numFmt numFmtId="166" formatCode="_(* #,##0.00_);_(* \(#,##0.00\);_(* &quot;-&quot;??_);_(@_)"/>
    <numFmt numFmtId="167" formatCode="&quot;Rp&quot;#,##0.00"/>
    <numFmt numFmtId="168" formatCode="0.0%"/>
    <numFmt numFmtId="169" formatCode="[$-421]dd\ mmmm\ yyyy;@"/>
    <numFmt numFmtId="170" formatCode="[$-F800]dddd\,\ mmmm\ dd\,\ yyyy"/>
  </numFmts>
  <fonts count="255" x14ac:knownFonts="1">
    <font>
      <sz val="12"/>
      <color theme="1"/>
      <name val="Calibri"/>
      <family val="2"/>
      <charset val="1"/>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2"/>
      <color theme="1"/>
      <name val="Calibri"/>
      <family val="2"/>
      <charset val="1"/>
    </font>
    <font>
      <b/>
      <sz val="12"/>
      <color theme="1"/>
      <name val="Calibri"/>
      <family val="2"/>
      <charset val="1"/>
    </font>
    <font>
      <sz val="11"/>
      <color rgb="FF000000"/>
      <name val="Arial"/>
      <family val="2"/>
    </font>
    <font>
      <sz val="11"/>
      <color theme="1"/>
      <name val="Arial"/>
      <family val="2"/>
    </font>
    <font>
      <b/>
      <sz val="14"/>
      <color rgb="FFFFFFFF"/>
      <name val="Cambria"/>
      <family val="1"/>
    </font>
    <font>
      <b/>
      <sz val="12"/>
      <color rgb="FF0F01BF"/>
      <name val="Arial"/>
      <family val="2"/>
    </font>
    <font>
      <sz val="11"/>
      <color theme="1"/>
      <name val="Calibri"/>
      <family val="2"/>
    </font>
    <font>
      <b/>
      <sz val="7.5"/>
      <color rgb="FF000000"/>
      <name val="Arial"/>
      <family val="2"/>
    </font>
    <font>
      <sz val="7.5"/>
      <color rgb="FF000000"/>
      <name val="Arial"/>
      <family val="2"/>
    </font>
    <font>
      <b/>
      <sz val="9"/>
      <color theme="1"/>
      <name val="Arial"/>
      <family val="2"/>
    </font>
    <font>
      <sz val="9"/>
      <color theme="1"/>
      <name val="Arial"/>
      <family val="2"/>
    </font>
    <font>
      <sz val="10"/>
      <color theme="1"/>
      <name val="Arial"/>
      <family val="2"/>
    </font>
    <font>
      <sz val="16"/>
      <color theme="1"/>
      <name val="Arial"/>
      <family val="2"/>
    </font>
    <font>
      <b/>
      <sz val="12"/>
      <color theme="1"/>
      <name val="Calibri"/>
      <family val="2"/>
    </font>
    <font>
      <b/>
      <sz val="14"/>
      <color theme="1"/>
      <name val="Calibri"/>
      <family val="2"/>
    </font>
    <font>
      <i/>
      <sz val="12"/>
      <color theme="1"/>
      <name val="Calibri"/>
      <family val="2"/>
      <charset val="1"/>
    </font>
    <font>
      <b/>
      <sz val="12"/>
      <color rgb="FFFFFF00"/>
      <name val="Calibri"/>
      <family val="2"/>
      <scheme val="minor"/>
    </font>
    <font>
      <sz val="12"/>
      <color theme="1"/>
      <name val="Calibri"/>
      <family val="2"/>
      <scheme val="minor"/>
    </font>
    <font>
      <b/>
      <sz val="8"/>
      <name val="Arial"/>
      <family val="2"/>
    </font>
    <font>
      <b/>
      <sz val="11"/>
      <color rgb="FFFF0000"/>
      <name val="Arial"/>
      <family val="2"/>
    </font>
    <font>
      <sz val="11"/>
      <name val="Arial"/>
      <family val="2"/>
    </font>
    <font>
      <sz val="12"/>
      <name val="Arial"/>
      <family val="2"/>
    </font>
    <font>
      <sz val="11"/>
      <name val="Arial Narrow"/>
      <family val="2"/>
    </font>
    <font>
      <b/>
      <sz val="12"/>
      <name val="Arial"/>
      <family val="2"/>
    </font>
    <font>
      <sz val="10"/>
      <name val="Arial"/>
      <family val="2"/>
    </font>
    <font>
      <b/>
      <sz val="10"/>
      <name val="Arial"/>
      <family val="2"/>
    </font>
    <font>
      <sz val="12"/>
      <name val="Arial Narrow"/>
      <family val="2"/>
    </font>
    <font>
      <b/>
      <sz val="8"/>
      <color rgb="FF000000"/>
      <name val="Tahoma"/>
      <family val="2"/>
    </font>
    <font>
      <sz val="8"/>
      <color rgb="FF000000"/>
      <name val="Tahoma"/>
      <family val="2"/>
    </font>
    <font>
      <sz val="12"/>
      <color rgb="FF000000"/>
      <name val="Tahoma"/>
      <family val="2"/>
    </font>
    <font>
      <sz val="9"/>
      <name val="Arial"/>
      <family val="2"/>
    </font>
    <font>
      <b/>
      <sz val="9"/>
      <name val="Arial"/>
      <family val="2"/>
    </font>
    <font>
      <b/>
      <sz val="15"/>
      <name val="Arial"/>
      <family val="2"/>
    </font>
    <font>
      <sz val="15"/>
      <color theme="1"/>
      <name val="Calibri"/>
      <family val="2"/>
      <charset val="1"/>
    </font>
    <font>
      <sz val="10"/>
      <color theme="1"/>
      <name val="Calibri"/>
      <family val="2"/>
      <charset val="1"/>
    </font>
    <font>
      <b/>
      <sz val="10"/>
      <color theme="1"/>
      <name val="Calibri"/>
      <family val="2"/>
    </font>
    <font>
      <b/>
      <sz val="11"/>
      <name val="Arial Narrow"/>
      <family val="2"/>
    </font>
    <font>
      <b/>
      <sz val="11"/>
      <name val="Arial"/>
      <family val="2"/>
    </font>
    <font>
      <b/>
      <sz val="12"/>
      <color rgb="FFFF0000"/>
      <name val="Arial"/>
      <family val="2"/>
    </font>
    <font>
      <sz val="10"/>
      <name val="Arial Narrow"/>
      <family val="2"/>
    </font>
    <font>
      <b/>
      <sz val="10"/>
      <name val="Arial Narrow"/>
      <family val="2"/>
    </font>
    <font>
      <b/>
      <u/>
      <sz val="11"/>
      <name val="Arial"/>
      <family val="2"/>
    </font>
    <font>
      <u/>
      <sz val="11"/>
      <name val="Arial"/>
      <family val="2"/>
    </font>
    <font>
      <b/>
      <sz val="12"/>
      <name val="Arial Narrow"/>
      <family val="2"/>
    </font>
    <font>
      <b/>
      <sz val="14"/>
      <name val="Arial"/>
      <family val="2"/>
    </font>
    <font>
      <sz val="11"/>
      <color rgb="FFC00000"/>
      <name val="Arial"/>
      <family val="2"/>
    </font>
    <font>
      <b/>
      <sz val="11"/>
      <color rgb="FF0000CC"/>
      <name val="Arial"/>
      <family val="2"/>
    </font>
    <font>
      <b/>
      <sz val="11"/>
      <color rgb="FF7030A0"/>
      <name val="Arial"/>
      <family val="2"/>
    </font>
    <font>
      <b/>
      <sz val="11"/>
      <color indexed="10"/>
      <name val="Arial"/>
      <family val="2"/>
    </font>
    <font>
      <b/>
      <sz val="11"/>
      <color indexed="12"/>
      <name val="Arial"/>
      <family val="2"/>
    </font>
    <font>
      <sz val="11"/>
      <color indexed="12"/>
      <name val="Arial"/>
      <family val="2"/>
    </font>
    <font>
      <sz val="8"/>
      <name val="Arial"/>
      <family val="2"/>
    </font>
    <font>
      <sz val="11"/>
      <color theme="1"/>
      <name val="Calibri"/>
      <family val="2"/>
      <charset val="1"/>
    </font>
    <font>
      <sz val="11"/>
      <color theme="0"/>
      <name val="Bradley Hand ITC"/>
      <family val="4"/>
    </font>
    <font>
      <sz val="12"/>
      <color rgb="FFFF0000"/>
      <name val="Calibri"/>
      <family val="2"/>
      <charset val="1"/>
    </font>
    <font>
      <sz val="12"/>
      <color rgb="FF0070C0"/>
      <name val="Calibri"/>
      <family val="2"/>
      <charset val="1"/>
    </font>
    <font>
      <i/>
      <sz val="10"/>
      <color rgb="FF0070C0"/>
      <name val="Calibri"/>
      <family val="2"/>
      <charset val="1"/>
    </font>
    <font>
      <i/>
      <sz val="12"/>
      <color rgb="FFFF0000"/>
      <name val="Calibri"/>
      <family val="2"/>
      <charset val="1"/>
    </font>
    <font>
      <sz val="11"/>
      <color rgb="FFFF0000"/>
      <name val="Arial"/>
      <family val="2"/>
    </font>
    <font>
      <b/>
      <sz val="11"/>
      <color rgb="FFFF0000"/>
      <name val="Arial Narrow"/>
      <family val="2"/>
    </font>
    <font>
      <sz val="11"/>
      <color rgb="FFFF0000"/>
      <name val="Arial Narrow"/>
      <family val="2"/>
    </font>
    <font>
      <b/>
      <sz val="14"/>
      <color rgb="FFFF0000"/>
      <name val="Arial"/>
      <family val="2"/>
    </font>
    <font>
      <sz val="11"/>
      <color rgb="FFFFC000"/>
      <name val="Arial"/>
      <family val="2"/>
    </font>
    <font>
      <b/>
      <sz val="11"/>
      <color rgb="FFFFC000"/>
      <name val="Arial"/>
      <family val="2"/>
    </font>
    <font>
      <sz val="10"/>
      <color rgb="FFFF0000"/>
      <name val="Arial"/>
      <family val="2"/>
    </font>
    <font>
      <sz val="12"/>
      <name val="Calibri"/>
      <family val="2"/>
      <charset val="1"/>
    </font>
    <font>
      <b/>
      <sz val="16"/>
      <color rgb="FFFFC000"/>
      <name val="Arial Narrow"/>
      <family val="2"/>
    </font>
    <font>
      <b/>
      <sz val="14"/>
      <name val="Cambria"/>
      <family val="1"/>
    </font>
    <font>
      <sz val="16"/>
      <color theme="1"/>
      <name val="Calibri"/>
      <family val="2"/>
      <charset val="1"/>
    </font>
    <font>
      <b/>
      <sz val="12"/>
      <color rgb="FF0070C0"/>
      <name val="Calibri"/>
      <family val="2"/>
      <charset val="1"/>
    </font>
    <font>
      <b/>
      <sz val="11"/>
      <color rgb="FF0070C0"/>
      <name val="Arial"/>
      <family val="2"/>
    </font>
    <font>
      <sz val="12"/>
      <color rgb="FFC00000"/>
      <name val="Calibri"/>
      <family val="2"/>
      <charset val="1"/>
    </font>
    <font>
      <b/>
      <sz val="10"/>
      <color rgb="FF0070C0"/>
      <name val="Arial"/>
      <family val="2"/>
    </font>
    <font>
      <b/>
      <sz val="12"/>
      <color rgb="FF0070C0"/>
      <name val="Arial Narrow"/>
      <family val="2"/>
    </font>
    <font>
      <b/>
      <sz val="14"/>
      <color rgb="FFFFFF00"/>
      <name val="Arial"/>
      <family val="2"/>
    </font>
    <font>
      <b/>
      <sz val="11"/>
      <color rgb="FFFFFF00"/>
      <name val="Arial"/>
      <family val="2"/>
    </font>
    <font>
      <b/>
      <sz val="12"/>
      <color rgb="FFFFFF00"/>
      <name val="Arial"/>
      <family val="2"/>
    </font>
    <font>
      <b/>
      <sz val="18"/>
      <color rgb="FFFFFF00"/>
      <name val="Bradley Hand ITC"/>
      <family val="4"/>
    </font>
    <font>
      <sz val="11"/>
      <color rgb="FFFFFF00"/>
      <name val="Arial"/>
      <family val="2"/>
    </font>
    <font>
      <sz val="10"/>
      <color theme="1"/>
      <name val="Times New Roman"/>
      <family val="1"/>
    </font>
    <font>
      <sz val="8"/>
      <color rgb="FFFFC000"/>
      <name val="Arial Narrow"/>
      <family val="2"/>
    </font>
    <font>
      <b/>
      <sz val="16"/>
      <color rgb="FFFFFF00"/>
      <name val="Arial Narrow"/>
      <family val="2"/>
    </font>
    <font>
      <sz val="13"/>
      <color theme="1"/>
      <name val="Arial"/>
      <family val="2"/>
    </font>
    <font>
      <sz val="12"/>
      <color theme="0"/>
      <name val="Calibri"/>
      <family val="2"/>
      <charset val="1"/>
    </font>
    <font>
      <b/>
      <sz val="12"/>
      <color theme="0"/>
      <name val="Arial"/>
      <family val="2"/>
    </font>
    <font>
      <sz val="12"/>
      <color rgb="FF000000"/>
      <name val="Arial"/>
      <family val="2"/>
    </font>
    <font>
      <sz val="12"/>
      <name val="Calibri"/>
      <family val="2"/>
      <scheme val="minor"/>
    </font>
    <font>
      <sz val="12"/>
      <color rgb="FF000000"/>
      <name val="Calibri"/>
      <family val="2"/>
      <scheme val="minor"/>
    </font>
    <font>
      <sz val="12"/>
      <color rgb="FFFF0000"/>
      <name val="Calibri"/>
      <family val="2"/>
      <scheme val="minor"/>
    </font>
    <font>
      <b/>
      <sz val="16"/>
      <color theme="0"/>
      <name val="Arial"/>
      <family val="2"/>
    </font>
    <font>
      <sz val="10"/>
      <color theme="0"/>
      <name val="Arial"/>
      <family val="2"/>
    </font>
    <font>
      <b/>
      <sz val="9"/>
      <color rgb="FF000000"/>
      <name val="Arial"/>
      <family val="2"/>
    </font>
    <font>
      <b/>
      <sz val="10"/>
      <color rgb="FF000000"/>
      <name val="Arial"/>
      <family val="2"/>
    </font>
    <font>
      <sz val="7.5"/>
      <name val="Arial"/>
      <family val="2"/>
    </font>
    <font>
      <sz val="9"/>
      <color rgb="FF000000"/>
      <name val="Arial"/>
      <family val="2"/>
    </font>
    <font>
      <b/>
      <sz val="8"/>
      <color rgb="FF000000"/>
      <name val="Arial"/>
      <family val="2"/>
    </font>
    <font>
      <b/>
      <sz val="8.5"/>
      <color rgb="FF000000"/>
      <name val="Arial"/>
      <family val="2"/>
    </font>
    <font>
      <sz val="8.5"/>
      <color rgb="FF000000"/>
      <name val="Arial"/>
      <family val="2"/>
    </font>
    <font>
      <b/>
      <sz val="10"/>
      <color theme="0" tint="-0.34998626667073579"/>
      <name val="Times New Roman"/>
      <family val="1"/>
    </font>
    <font>
      <sz val="11"/>
      <color theme="8" tint="-0.249977111117893"/>
      <name val="Calibri"/>
      <family val="2"/>
      <scheme val="minor"/>
    </font>
    <font>
      <i/>
      <sz val="11"/>
      <color theme="8" tint="-0.249977111117893"/>
      <name val="Calibri"/>
      <family val="2"/>
      <scheme val="minor"/>
    </font>
    <font>
      <i/>
      <sz val="12"/>
      <color theme="1"/>
      <name val="Calibri"/>
      <family val="2"/>
      <scheme val="minor"/>
    </font>
    <font>
      <b/>
      <sz val="12"/>
      <color theme="1"/>
      <name val="Calibri"/>
      <family val="2"/>
      <scheme val="minor"/>
    </font>
    <font>
      <i/>
      <sz val="11"/>
      <color theme="1"/>
      <name val="Calibri"/>
      <family val="2"/>
      <scheme val="minor"/>
    </font>
    <font>
      <b/>
      <sz val="8"/>
      <color indexed="81"/>
      <name val="Tahoma"/>
      <family val="2"/>
    </font>
    <font>
      <b/>
      <sz val="14"/>
      <color theme="0"/>
      <name val="Cambria"/>
      <family val="1"/>
      <scheme val="major"/>
    </font>
    <font>
      <sz val="8"/>
      <color theme="1"/>
      <name val="Calibri"/>
      <family val="2"/>
      <scheme val="minor"/>
    </font>
    <font>
      <i/>
      <sz val="8"/>
      <color rgb="FF548DD4"/>
      <name val="Calibri"/>
      <family val="2"/>
      <scheme val="minor"/>
    </font>
    <font>
      <i/>
      <sz val="10"/>
      <color theme="1"/>
      <name val="Calibri"/>
      <family val="2"/>
      <scheme val="minor"/>
    </font>
    <font>
      <b/>
      <sz val="9"/>
      <color theme="1"/>
      <name val="Calibri"/>
      <family val="2"/>
      <scheme val="minor"/>
    </font>
    <font>
      <b/>
      <sz val="8"/>
      <color theme="1"/>
      <name val="Calibri"/>
      <family val="2"/>
      <scheme val="minor"/>
    </font>
    <font>
      <b/>
      <sz val="10"/>
      <color theme="1"/>
      <name val="Calibri"/>
      <family val="2"/>
      <scheme val="minor"/>
    </font>
    <font>
      <b/>
      <sz val="10"/>
      <color theme="0"/>
      <name val="Arial"/>
      <family val="2"/>
    </font>
    <font>
      <sz val="10"/>
      <color theme="0"/>
      <name val="Calibri"/>
      <family val="2"/>
      <charset val="1"/>
    </font>
    <font>
      <b/>
      <sz val="12"/>
      <color theme="0"/>
      <name val="Arial Narrow"/>
      <family val="2"/>
    </font>
    <font>
      <b/>
      <sz val="12"/>
      <color theme="0"/>
      <name val="Calibri"/>
      <family val="2"/>
      <charset val="1"/>
    </font>
    <font>
      <b/>
      <sz val="11"/>
      <color theme="0"/>
      <name val="Arial"/>
      <family val="2"/>
    </font>
    <font>
      <sz val="12"/>
      <color rgb="FF0000FF"/>
      <name val="Calibri"/>
      <family val="2"/>
      <scheme val="minor"/>
    </font>
    <font>
      <sz val="8"/>
      <color rgb="FFC00000"/>
      <name val="Calibri"/>
      <family val="2"/>
      <scheme val="minor"/>
    </font>
    <font>
      <sz val="12"/>
      <color rgb="FFC00000"/>
      <name val="Calibri"/>
      <family val="2"/>
      <scheme val="minor"/>
    </font>
    <font>
      <sz val="14"/>
      <color rgb="FF0000FF"/>
      <name val="Calibri"/>
      <family val="2"/>
      <scheme val="minor"/>
    </font>
    <font>
      <i/>
      <sz val="14"/>
      <color rgb="FF0000FF"/>
      <name val="Calibri"/>
      <family val="2"/>
      <scheme val="minor"/>
    </font>
    <font>
      <sz val="13"/>
      <color rgb="FF0000FF"/>
      <name val="Calibri"/>
      <family val="2"/>
      <scheme val="minor"/>
    </font>
    <font>
      <b/>
      <sz val="13"/>
      <color rgb="FF0000FF"/>
      <name val="Calibri"/>
      <family val="2"/>
      <scheme val="minor"/>
    </font>
    <font>
      <sz val="13"/>
      <name val="Calibri"/>
      <family val="2"/>
      <scheme val="minor"/>
    </font>
    <font>
      <b/>
      <sz val="16"/>
      <color theme="0"/>
      <name val="Baskerville Old Face"/>
      <family val="1"/>
    </font>
    <font>
      <b/>
      <sz val="11"/>
      <color theme="0"/>
      <name val="Arial Narrow"/>
      <family val="2"/>
    </font>
    <font>
      <sz val="11"/>
      <color theme="0"/>
      <name val="Arial"/>
      <family val="2"/>
    </font>
    <font>
      <b/>
      <sz val="20"/>
      <name val="Baskerville Old Face"/>
      <family val="1"/>
    </font>
    <font>
      <sz val="13"/>
      <color theme="0"/>
      <name val="Arial Narrow"/>
      <family val="2"/>
    </font>
    <font>
      <b/>
      <sz val="13"/>
      <color theme="0"/>
      <name val="Arial"/>
      <family val="2"/>
    </font>
    <font>
      <sz val="13"/>
      <color theme="0"/>
      <name val="Calibri"/>
      <family val="2"/>
      <charset val="1"/>
    </font>
    <font>
      <b/>
      <sz val="20"/>
      <color rgb="FF0070C0"/>
      <name val="Cambria"/>
      <family val="1"/>
      <scheme val="major"/>
    </font>
    <font>
      <sz val="16"/>
      <color theme="1"/>
      <name val="Cambria"/>
      <family val="1"/>
      <scheme val="major"/>
    </font>
    <font>
      <b/>
      <sz val="7.5"/>
      <name val="Arial"/>
      <family val="2"/>
    </font>
    <font>
      <sz val="11"/>
      <name val="Calibri"/>
      <family val="2"/>
    </font>
    <font>
      <sz val="9"/>
      <name val="Calibri"/>
      <family val="2"/>
    </font>
    <font>
      <b/>
      <sz val="9"/>
      <name val="Calibri"/>
      <family val="2"/>
    </font>
    <font>
      <sz val="9"/>
      <name val="Calibri"/>
      <family val="2"/>
      <charset val="1"/>
    </font>
    <font>
      <i/>
      <sz val="9"/>
      <color theme="5" tint="-0.249977111117893"/>
      <name val="Calibri"/>
      <family val="2"/>
      <scheme val="minor"/>
    </font>
    <font>
      <sz val="14"/>
      <name val="Franklin Gothic Medium"/>
      <family val="2"/>
    </font>
    <font>
      <sz val="12"/>
      <color theme="9" tint="0.39997558519241921"/>
      <name val="Franklin Gothic Medium"/>
      <family val="2"/>
    </font>
    <font>
      <sz val="14"/>
      <color theme="9" tint="0.39997558519241921"/>
      <name val="Franklin Gothic Medium"/>
      <family val="2"/>
    </font>
    <font>
      <sz val="8"/>
      <color indexed="81"/>
      <name val="Tahoma"/>
      <family val="2"/>
    </font>
    <font>
      <sz val="9"/>
      <name val="Calibri"/>
      <family val="2"/>
      <scheme val="minor"/>
    </font>
    <font>
      <b/>
      <sz val="13"/>
      <color theme="1"/>
      <name val="Calibri"/>
      <family val="2"/>
    </font>
    <font>
      <sz val="11"/>
      <color theme="1"/>
      <name val="Arial Narrow"/>
      <family val="2"/>
    </font>
    <font>
      <sz val="12"/>
      <color theme="1"/>
      <name val="Cambria"/>
      <family val="1"/>
      <scheme val="major"/>
    </font>
    <font>
      <b/>
      <sz val="12"/>
      <color theme="1"/>
      <name val="Cambria"/>
      <family val="1"/>
      <scheme val="major"/>
    </font>
    <font>
      <b/>
      <sz val="14"/>
      <color theme="1"/>
      <name val="Cambria"/>
      <family val="1"/>
      <scheme val="major"/>
    </font>
    <font>
      <b/>
      <sz val="13"/>
      <name val="Cambria"/>
      <family val="1"/>
      <scheme val="major"/>
    </font>
    <font>
      <b/>
      <sz val="12"/>
      <name val="Cambria"/>
      <family val="1"/>
      <scheme val="major"/>
    </font>
    <font>
      <b/>
      <sz val="13"/>
      <color theme="1"/>
      <name val="Cambria"/>
      <family val="1"/>
      <scheme val="major"/>
    </font>
    <font>
      <sz val="13"/>
      <color theme="1"/>
      <name val="Cambria"/>
      <family val="1"/>
      <scheme val="major"/>
    </font>
    <font>
      <b/>
      <sz val="12"/>
      <color rgb="FF0F01BF"/>
      <name val="Cambria"/>
      <family val="1"/>
      <scheme val="major"/>
    </font>
    <font>
      <b/>
      <sz val="11"/>
      <color rgb="FF0F01BF"/>
      <name val="Cambria"/>
      <family val="1"/>
      <scheme val="major"/>
    </font>
    <font>
      <sz val="10"/>
      <color rgb="FF0F01BF"/>
      <name val="Cambria"/>
      <family val="1"/>
      <scheme val="major"/>
    </font>
    <font>
      <i/>
      <sz val="10"/>
      <color rgb="FF0F01BF"/>
      <name val="Cambria"/>
      <family val="1"/>
      <scheme val="major"/>
    </font>
    <font>
      <b/>
      <sz val="8"/>
      <color theme="1"/>
      <name val="Arial Narrow"/>
      <family val="2"/>
    </font>
    <font>
      <b/>
      <sz val="9"/>
      <color theme="1"/>
      <name val="Arial Narrow"/>
      <family val="2"/>
    </font>
    <font>
      <b/>
      <sz val="10"/>
      <color rgb="FF0000FF"/>
      <name val="Cambria"/>
      <family val="1"/>
      <scheme val="major"/>
    </font>
    <font>
      <b/>
      <sz val="11"/>
      <color rgb="FF0000FF"/>
      <name val="Cambria"/>
      <family val="1"/>
      <scheme val="major"/>
    </font>
    <font>
      <i/>
      <sz val="8"/>
      <color rgb="FF0000FF"/>
      <name val="Cambria"/>
      <family val="1"/>
      <scheme val="major"/>
    </font>
    <font>
      <b/>
      <sz val="12"/>
      <color rgb="FF0000FF"/>
      <name val="Cambria"/>
      <family val="1"/>
      <scheme val="major"/>
    </font>
    <font>
      <b/>
      <sz val="12"/>
      <color rgb="FF0070C0"/>
      <name val="Cambria"/>
      <family val="1"/>
      <scheme val="major"/>
    </font>
    <font>
      <i/>
      <sz val="9"/>
      <color theme="5" tint="-0.249977111117893"/>
      <name val="Cambria"/>
      <family val="1"/>
      <scheme val="major"/>
    </font>
    <font>
      <sz val="11"/>
      <color theme="1"/>
      <name val="Cambria"/>
      <family val="1"/>
      <scheme val="major"/>
    </font>
    <font>
      <i/>
      <sz val="12"/>
      <color theme="1"/>
      <name val="Cambria"/>
      <family val="1"/>
      <scheme val="major"/>
    </font>
    <font>
      <sz val="12"/>
      <name val="Cambria"/>
      <family val="1"/>
      <scheme val="major"/>
    </font>
    <font>
      <i/>
      <sz val="12"/>
      <color rgb="FFFF0000"/>
      <name val="Cambria"/>
      <family val="1"/>
      <scheme val="major"/>
    </font>
    <font>
      <sz val="12"/>
      <color rgb="FFFF0000"/>
      <name val="Cambria"/>
      <family val="1"/>
      <scheme val="major"/>
    </font>
    <font>
      <i/>
      <sz val="8"/>
      <color rgb="FFC00000"/>
      <name val="Cambria"/>
      <family val="1"/>
      <scheme val="major"/>
    </font>
    <font>
      <i/>
      <sz val="10"/>
      <color theme="1"/>
      <name val="Cambria"/>
      <family val="1"/>
      <scheme val="major"/>
    </font>
    <font>
      <i/>
      <sz val="11"/>
      <color theme="1"/>
      <name val="Cambria"/>
      <family val="1"/>
      <scheme val="major"/>
    </font>
    <font>
      <sz val="12"/>
      <color rgb="FF000000"/>
      <name val="Cambria"/>
      <family val="1"/>
      <scheme val="major"/>
    </font>
    <font>
      <i/>
      <sz val="12"/>
      <color rgb="FF000000"/>
      <name val="Cambria"/>
      <family val="1"/>
      <scheme val="major"/>
    </font>
    <font>
      <sz val="9"/>
      <color indexed="81"/>
      <name val="Tahoma"/>
      <family val="2"/>
    </font>
    <font>
      <b/>
      <sz val="9"/>
      <color indexed="81"/>
      <name val="Tahoma"/>
      <family val="2"/>
    </font>
    <font>
      <i/>
      <sz val="9"/>
      <color theme="8" tint="-0.249977111117893"/>
      <name val="Calibri"/>
      <family val="2"/>
      <scheme val="minor"/>
    </font>
    <font>
      <sz val="12"/>
      <color theme="1"/>
      <name val="Cambria"/>
      <family val="1"/>
    </font>
    <font>
      <i/>
      <sz val="12"/>
      <name val="Cambria"/>
      <family val="1"/>
      <scheme val="major"/>
    </font>
    <font>
      <b/>
      <sz val="11"/>
      <color theme="1"/>
      <name val="Cambria"/>
      <family val="1"/>
      <scheme val="major"/>
    </font>
    <font>
      <sz val="10"/>
      <color theme="1"/>
      <name val="Cambria"/>
      <family val="1"/>
      <scheme val="major"/>
    </font>
    <font>
      <sz val="10"/>
      <name val="Cambria"/>
      <family val="1"/>
      <scheme val="major"/>
    </font>
    <font>
      <b/>
      <sz val="10"/>
      <color theme="1"/>
      <name val="Cambria"/>
      <family val="1"/>
      <scheme val="major"/>
    </font>
    <font>
      <i/>
      <sz val="8"/>
      <color rgb="FF548DD4"/>
      <name val="Cambria"/>
      <family val="1"/>
      <scheme val="major"/>
    </font>
    <font>
      <sz val="12"/>
      <color rgb="FFC00000"/>
      <name val="Cambria"/>
      <family val="1"/>
      <scheme val="major"/>
    </font>
    <font>
      <i/>
      <sz val="8"/>
      <color theme="1"/>
      <name val="Cambria"/>
      <family val="1"/>
      <scheme val="major"/>
    </font>
    <font>
      <i/>
      <sz val="10"/>
      <color rgb="FF000000"/>
      <name val="Cambria"/>
      <family val="1"/>
      <scheme val="major"/>
    </font>
    <font>
      <i/>
      <sz val="11"/>
      <color rgb="FF000000"/>
      <name val="Cambria"/>
      <family val="1"/>
      <scheme val="major"/>
    </font>
    <font>
      <sz val="10"/>
      <color rgb="FF000000"/>
      <name val="Cambria"/>
      <family val="1"/>
      <scheme val="major"/>
    </font>
    <font>
      <b/>
      <sz val="9"/>
      <color theme="1"/>
      <name val="Cambria"/>
      <family val="1"/>
      <scheme val="major"/>
    </font>
    <font>
      <i/>
      <sz val="8"/>
      <name val="Cambria"/>
      <family val="1"/>
      <scheme val="major"/>
    </font>
    <font>
      <sz val="11"/>
      <name val="Cambria"/>
      <family val="1"/>
      <scheme val="major"/>
    </font>
    <font>
      <sz val="8"/>
      <color theme="1"/>
      <name val="Cambria"/>
      <family val="1"/>
      <scheme val="major"/>
    </font>
    <font>
      <b/>
      <sz val="8"/>
      <color theme="1"/>
      <name val="Cambria"/>
      <family val="1"/>
      <scheme val="major"/>
    </font>
    <font>
      <b/>
      <i/>
      <sz val="12"/>
      <color rgb="FF0000FF"/>
      <name val="Cambria"/>
      <family val="1"/>
      <scheme val="major"/>
    </font>
    <font>
      <sz val="12"/>
      <color rgb="FF0000FF"/>
      <name val="Cambria"/>
      <family val="1"/>
      <scheme val="major"/>
    </font>
    <font>
      <i/>
      <sz val="8"/>
      <color rgb="FF0070C0"/>
      <name val="Cambria"/>
      <family val="1"/>
      <scheme val="major"/>
    </font>
    <font>
      <b/>
      <i/>
      <sz val="11"/>
      <color rgb="FF0000FF"/>
      <name val="Cambria"/>
      <family val="1"/>
      <scheme val="major"/>
    </font>
    <font>
      <sz val="11"/>
      <color rgb="FFFF0000"/>
      <name val="Cambria"/>
      <family val="1"/>
      <scheme val="major"/>
    </font>
    <font>
      <i/>
      <sz val="11"/>
      <color rgb="FFFF0000"/>
      <name val="Cambria"/>
      <family val="1"/>
      <scheme val="major"/>
    </font>
    <font>
      <sz val="12"/>
      <color rgb="FF0070C0"/>
      <name val="Cambria"/>
      <family val="1"/>
      <scheme val="major"/>
    </font>
    <font>
      <i/>
      <sz val="10"/>
      <color rgb="FFC00000"/>
      <name val="Cambria"/>
      <family val="1"/>
      <scheme val="major"/>
    </font>
    <font>
      <b/>
      <sz val="12"/>
      <color rgb="FFFF0000"/>
      <name val="Cambria"/>
      <family val="1"/>
      <scheme val="major"/>
    </font>
    <font>
      <sz val="9"/>
      <color theme="1"/>
      <name val="Cambria"/>
      <family val="1"/>
      <scheme val="major"/>
    </font>
    <font>
      <b/>
      <sz val="11"/>
      <color rgb="FF000099"/>
      <name val="Arial"/>
      <family val="2"/>
    </font>
    <font>
      <b/>
      <i/>
      <u/>
      <sz val="10"/>
      <color rgb="FFFF0000"/>
      <name val="Cambria"/>
      <family val="1"/>
      <scheme val="major"/>
    </font>
    <font>
      <b/>
      <sz val="11.5"/>
      <color theme="1"/>
      <name val="Cambria"/>
      <family val="1"/>
      <scheme val="major"/>
    </font>
    <font>
      <sz val="11.5"/>
      <color theme="1"/>
      <name val="Cambria"/>
      <family val="1"/>
      <scheme val="major"/>
    </font>
    <font>
      <b/>
      <sz val="13"/>
      <color rgb="FF0000FF"/>
      <name val="Cambria"/>
      <family val="1"/>
      <scheme val="major"/>
    </font>
    <font>
      <b/>
      <sz val="13"/>
      <color rgb="FF0070C0"/>
      <name val="Cambria"/>
      <family val="1"/>
      <scheme val="major"/>
    </font>
    <font>
      <i/>
      <sz val="10"/>
      <color rgb="FF0070C0"/>
      <name val="Cambria"/>
      <family val="1"/>
      <scheme val="major"/>
    </font>
    <font>
      <i/>
      <sz val="12"/>
      <color rgb="FFC00000"/>
      <name val="Cambria"/>
      <family val="1"/>
      <scheme val="major"/>
    </font>
    <font>
      <sz val="13"/>
      <color rgb="FFC00000"/>
      <name val="Calibri"/>
      <family val="2"/>
      <scheme val="minor"/>
    </font>
    <font>
      <b/>
      <sz val="15"/>
      <color theme="1"/>
      <name val="Cambria"/>
      <family val="1"/>
      <scheme val="major"/>
    </font>
    <font>
      <sz val="13"/>
      <color rgb="FF000099"/>
      <name val="Calibri"/>
      <family val="2"/>
      <scheme val="minor"/>
    </font>
    <font>
      <i/>
      <sz val="13"/>
      <color rgb="FF000099"/>
      <name val="Calibri"/>
      <family val="2"/>
      <scheme val="minor"/>
    </font>
    <font>
      <sz val="10"/>
      <color indexed="81"/>
      <name val="Tahoma"/>
      <family val="2"/>
    </font>
    <font>
      <i/>
      <sz val="13"/>
      <color rgb="FFC00000"/>
      <name val="Calibri"/>
      <family val="2"/>
      <scheme val="minor"/>
    </font>
    <font>
      <sz val="12"/>
      <color rgb="FF000099"/>
      <name val="Calibri"/>
      <family val="2"/>
      <scheme val="minor"/>
    </font>
    <font>
      <sz val="12"/>
      <color rgb="FF000099"/>
      <name val="Cambria"/>
      <family val="1"/>
      <scheme val="major"/>
    </font>
    <font>
      <b/>
      <sz val="12"/>
      <color rgb="FF000000"/>
      <name val="Arial"/>
      <family val="2"/>
    </font>
    <font>
      <b/>
      <sz val="10"/>
      <color rgb="FF943634"/>
      <name val="Arial"/>
      <family val="2"/>
    </font>
    <font>
      <sz val="10"/>
      <color rgb="FF000000"/>
      <name val="Arial"/>
      <family val="2"/>
    </font>
    <font>
      <sz val="10"/>
      <color rgb="FFFF0000"/>
      <name val="Calibri"/>
      <family val="2"/>
      <charset val="1"/>
    </font>
    <font>
      <b/>
      <sz val="10"/>
      <color rgb="FFC00000"/>
      <name val="Arial"/>
      <family val="2"/>
    </font>
    <font>
      <sz val="13"/>
      <color theme="1"/>
      <name val="Calibri"/>
      <family val="2"/>
      <charset val="1"/>
    </font>
    <font>
      <b/>
      <sz val="11"/>
      <name val="Cambria"/>
      <family val="1"/>
      <scheme val="major"/>
    </font>
    <font>
      <sz val="9"/>
      <name val="Cambria"/>
      <family val="1"/>
      <scheme val="major"/>
    </font>
    <font>
      <sz val="11"/>
      <color theme="0"/>
      <name val="Cambria"/>
      <family val="1"/>
      <scheme val="major"/>
    </font>
    <font>
      <sz val="10"/>
      <color theme="0"/>
      <name val="Cambria"/>
      <family val="1"/>
      <scheme val="major"/>
    </font>
    <font>
      <sz val="12"/>
      <color theme="0"/>
      <name val="Cambria"/>
      <family val="1"/>
      <scheme val="major"/>
    </font>
    <font>
      <b/>
      <sz val="9"/>
      <name val="Cambria"/>
      <family val="1"/>
      <scheme val="major"/>
    </font>
    <font>
      <sz val="9"/>
      <color theme="0"/>
      <name val="Cambria"/>
      <family val="1"/>
      <scheme val="major"/>
    </font>
    <font>
      <u/>
      <sz val="11"/>
      <name val="Arial Narrow"/>
      <family val="2"/>
    </font>
    <font>
      <i/>
      <sz val="7"/>
      <color rgb="FFC00000"/>
      <name val="Cambria"/>
      <family val="1"/>
      <scheme val="major"/>
    </font>
    <font>
      <sz val="12"/>
      <color theme="1"/>
      <name val="Calibri"/>
      <family val="2"/>
    </font>
    <font>
      <i/>
      <sz val="12"/>
      <color theme="1"/>
      <name val="Cambria"/>
      <family val="1"/>
    </font>
    <font>
      <sz val="12"/>
      <name val="Cambria"/>
      <family val="1"/>
    </font>
    <font>
      <i/>
      <sz val="12"/>
      <name val="Cambria"/>
      <family val="1"/>
    </font>
    <font>
      <b/>
      <sz val="12"/>
      <color theme="1"/>
      <name val="Cambria"/>
      <family val="1"/>
    </font>
    <font>
      <sz val="11"/>
      <name val="Cambria"/>
      <family val="1"/>
    </font>
    <font>
      <b/>
      <sz val="16"/>
      <color theme="0"/>
      <name val="Cambria"/>
      <family val="1"/>
      <scheme val="major"/>
    </font>
    <font>
      <b/>
      <sz val="11"/>
      <color theme="0" tint="-0.34998626667073579"/>
      <name val="Brush Script MT"/>
      <family val="4"/>
    </font>
    <font>
      <b/>
      <i/>
      <sz val="12"/>
      <color theme="1"/>
      <name val="Cambria"/>
      <family val="1"/>
      <scheme val="major"/>
    </font>
    <font>
      <b/>
      <sz val="10"/>
      <color theme="0" tint="-0.34998626667073579"/>
      <name val="Calibri"/>
      <family val="2"/>
      <scheme val="minor"/>
    </font>
    <font>
      <b/>
      <sz val="10"/>
      <color theme="0" tint="-0.34998626667073579"/>
      <name val="Cambria"/>
      <family val="1"/>
      <scheme val="major"/>
    </font>
    <font>
      <b/>
      <sz val="10"/>
      <color theme="0" tint="-0.34998626667073579"/>
      <name val="High Tower Text"/>
      <family val="1"/>
    </font>
  </fonts>
  <fills count="48">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rgb="FFD99594"/>
        <bgColor indexed="64"/>
      </patternFill>
    </fill>
    <fill>
      <patternFill patternType="solid">
        <fgColor rgb="FFFFFFCC"/>
        <bgColor indexed="64"/>
      </patternFill>
    </fill>
    <fill>
      <patternFill patternType="solid">
        <fgColor rgb="FFFFFF9F"/>
        <bgColor indexed="64"/>
      </patternFill>
    </fill>
    <fill>
      <patternFill patternType="solid">
        <fgColor rgb="FF333300"/>
        <bgColor indexed="64"/>
      </patternFill>
    </fill>
    <fill>
      <patternFill patternType="lightHorizontal">
        <fgColor rgb="FFFFFF99"/>
        <bgColor rgb="FFFFFFFF"/>
      </patternFill>
    </fill>
    <fill>
      <patternFill patternType="solid">
        <fgColor theme="0"/>
        <bgColor indexed="64"/>
      </patternFill>
    </fill>
    <fill>
      <patternFill patternType="solid">
        <fgColor rgb="FFDDEDFF"/>
        <bgColor rgb="FF000000"/>
      </patternFill>
    </fill>
    <fill>
      <patternFill patternType="solid">
        <fgColor theme="0"/>
        <bgColor rgb="FF000000"/>
      </patternFill>
    </fill>
    <fill>
      <patternFill patternType="solid">
        <fgColor theme="6" tint="0.79998168889431442"/>
        <bgColor indexed="64"/>
      </patternFill>
    </fill>
    <fill>
      <patternFill patternType="solid">
        <fgColor rgb="FFFF0000"/>
        <bgColor indexed="64"/>
      </patternFill>
    </fill>
    <fill>
      <patternFill patternType="solid">
        <fgColor indexed="45"/>
        <bgColor indexed="64"/>
      </patternFill>
    </fill>
    <fill>
      <patternFill patternType="solid">
        <fgColor rgb="FF0070C0"/>
        <bgColor indexed="64"/>
      </patternFill>
    </fill>
    <fill>
      <patternFill patternType="solid">
        <fgColor theme="5" tint="0.59999389629810485"/>
        <bgColor indexed="64"/>
      </patternFill>
    </fill>
    <fill>
      <patternFill patternType="solid">
        <fgColor indexed="65"/>
        <bgColor indexed="64"/>
      </patternFill>
    </fill>
    <fill>
      <patternFill patternType="solid">
        <fgColor theme="1"/>
        <bgColor indexed="64"/>
      </patternFill>
    </fill>
    <fill>
      <patternFill patternType="solid">
        <fgColor theme="7" tint="0.39997558519241921"/>
        <bgColor indexed="64"/>
      </patternFill>
    </fill>
    <fill>
      <patternFill patternType="solid">
        <fgColor rgb="FF00B0F0"/>
        <bgColor auto="1"/>
      </patternFill>
    </fill>
    <fill>
      <patternFill patternType="solid">
        <fgColor theme="4" tint="0.39997558519241921"/>
        <bgColor indexed="64"/>
      </patternFill>
    </fill>
    <fill>
      <patternFill patternType="solid">
        <fgColor theme="5"/>
        <bgColor indexed="64"/>
      </patternFill>
    </fill>
    <fill>
      <patternFill patternType="solid">
        <fgColor theme="5"/>
        <bgColor rgb="FF000000"/>
      </patternFill>
    </fill>
    <fill>
      <patternFill patternType="solid">
        <fgColor rgb="FFFFFFFF"/>
        <bgColor indexed="64"/>
      </patternFill>
    </fill>
    <fill>
      <patternFill patternType="solid">
        <fgColor rgb="FFFF99FF"/>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rgb="FF7030A0"/>
        <bgColor indexed="64"/>
      </patternFill>
    </fill>
    <fill>
      <patternFill patternType="solid">
        <fgColor theme="7" tint="0.59999389629810485"/>
        <bgColor indexed="64"/>
      </patternFill>
    </fill>
    <fill>
      <patternFill patternType="gray0625">
        <bgColor theme="5" tint="0.59999389629810485"/>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1"/>
        <bgColor rgb="FF000000"/>
      </patternFill>
    </fill>
    <fill>
      <patternFill patternType="solid">
        <fgColor theme="9" tint="0.59999389629810485"/>
        <bgColor indexed="64"/>
      </patternFill>
    </fill>
    <fill>
      <patternFill patternType="solid">
        <fgColor theme="6" tint="0.39997558519241921"/>
        <bgColor indexed="64"/>
      </patternFill>
    </fill>
    <fill>
      <patternFill patternType="solid">
        <fgColor theme="9" tint="0.39997558519241921"/>
        <bgColor rgb="FF000000"/>
      </patternFill>
    </fill>
    <fill>
      <patternFill patternType="solid">
        <fgColor theme="8" tint="0.79998168889431442"/>
        <bgColor indexed="64"/>
      </patternFill>
    </fill>
    <fill>
      <patternFill patternType="solid">
        <fgColor rgb="FFDAEEF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rgb="FF119F4A"/>
        <bgColor indexed="64"/>
      </patternFill>
    </fill>
    <fill>
      <patternFill patternType="solid">
        <fgColor theme="8" tint="0.39997558519241921"/>
        <bgColor indexed="64"/>
      </patternFill>
    </fill>
    <fill>
      <patternFill patternType="solid">
        <fgColor theme="6" tint="-0.249977111117893"/>
        <bgColor indexed="64"/>
      </patternFill>
    </fill>
  </fills>
  <borders count="208">
    <border>
      <left/>
      <right/>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rgb="FF99CC00"/>
      </left>
      <right style="thin">
        <color rgb="FF99CC00"/>
      </right>
      <top style="thin">
        <color rgb="FF99CC00"/>
      </top>
      <bottom style="thin">
        <color rgb="FF99CC00"/>
      </bottom>
      <diagonal/>
    </border>
    <border>
      <left style="thin">
        <color rgb="FF99CC00"/>
      </left>
      <right style="medium">
        <color auto="1"/>
      </right>
      <top style="thin">
        <color rgb="FF99CC00"/>
      </top>
      <bottom style="thin">
        <color rgb="FF99CC00"/>
      </bottom>
      <diagonal/>
    </border>
    <border>
      <left style="thin">
        <color rgb="FF99CC00"/>
      </left>
      <right style="thin">
        <color rgb="FF99CC00"/>
      </right>
      <top style="thin">
        <color rgb="FF99CC00"/>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bottom/>
      <diagonal/>
    </border>
    <border>
      <left style="double">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double">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right/>
      <top style="hair">
        <color indexed="64"/>
      </top>
      <bottom/>
      <diagonal/>
    </border>
    <border>
      <left/>
      <right style="thin">
        <color indexed="64"/>
      </right>
      <top style="double">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double">
        <color auto="1"/>
      </right>
      <top style="hair">
        <color indexed="64"/>
      </top>
      <bottom/>
      <diagonal/>
    </border>
    <border>
      <left style="thin">
        <color indexed="64"/>
      </left>
      <right style="thin">
        <color indexed="64"/>
      </right>
      <top style="hair">
        <color indexed="64"/>
      </top>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bottom style="dashed">
        <color auto="1"/>
      </bottom>
      <diagonal/>
    </border>
    <border>
      <left style="thin">
        <color auto="1"/>
      </left>
      <right/>
      <top style="double">
        <color auto="1"/>
      </top>
      <bottom style="dashed">
        <color auto="1"/>
      </bottom>
      <diagonal/>
    </border>
    <border>
      <left/>
      <right/>
      <top style="double">
        <color auto="1"/>
      </top>
      <bottom style="dashed">
        <color auto="1"/>
      </bottom>
      <diagonal/>
    </border>
    <border>
      <left/>
      <right style="thin">
        <color indexed="64"/>
      </right>
      <top style="double">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indexed="64"/>
      </right>
      <top style="dashed">
        <color auto="1"/>
      </top>
      <bottom style="dashed">
        <color auto="1"/>
      </bottom>
      <diagonal/>
    </border>
    <border>
      <left style="thin">
        <color auto="1"/>
      </left>
      <right/>
      <top style="dashed">
        <color auto="1"/>
      </top>
      <bottom style="thin">
        <color indexed="64"/>
      </bottom>
      <diagonal/>
    </border>
    <border>
      <left/>
      <right/>
      <top style="dashed">
        <color auto="1"/>
      </top>
      <bottom style="thin">
        <color indexed="64"/>
      </bottom>
      <diagonal/>
    </border>
    <border>
      <left/>
      <right style="thin">
        <color indexed="64"/>
      </right>
      <top style="dashed">
        <color auto="1"/>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auto="1"/>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double">
        <color indexed="64"/>
      </right>
      <top/>
      <bottom style="double">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double">
        <color indexed="64"/>
      </left>
      <right style="hair">
        <color indexed="64"/>
      </right>
      <top style="double">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double">
        <color indexed="64"/>
      </top>
      <bottom/>
      <diagonal/>
    </border>
    <border>
      <left style="double">
        <color indexed="64"/>
      </left>
      <right style="thin">
        <color auto="1"/>
      </right>
      <top/>
      <bottom/>
      <diagonal/>
    </border>
    <border>
      <left style="thin">
        <color auto="1"/>
      </left>
      <right style="double">
        <color auto="1"/>
      </right>
      <top/>
      <bottom/>
      <diagonal/>
    </border>
    <border>
      <left style="double">
        <color indexed="64"/>
      </left>
      <right style="thin">
        <color auto="1"/>
      </right>
      <top style="thin">
        <color auto="1"/>
      </top>
      <bottom/>
      <diagonal/>
    </border>
    <border>
      <left style="thin">
        <color auto="1"/>
      </left>
      <right style="double">
        <color auto="1"/>
      </right>
      <top style="thin">
        <color auto="1"/>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double">
        <color indexed="64"/>
      </left>
      <right/>
      <top style="hair">
        <color indexed="64"/>
      </top>
      <bottom/>
      <diagonal/>
    </border>
    <border>
      <left style="thin">
        <color indexed="64"/>
      </left>
      <right style="thin">
        <color indexed="64"/>
      </right>
      <top/>
      <bottom style="hair">
        <color indexed="64"/>
      </bottom>
      <diagonal/>
    </border>
    <border>
      <left/>
      <right/>
      <top style="thin">
        <color rgb="FF000000"/>
      </top>
      <bottom/>
      <diagonal/>
    </border>
    <border>
      <left/>
      <right/>
      <top style="thin">
        <color rgb="FF000000"/>
      </top>
      <bottom style="thin">
        <color indexed="64"/>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style="thin">
        <color rgb="FF000000"/>
      </left>
      <right/>
      <top style="thin">
        <color rgb="FF000000"/>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style="thin">
        <color indexed="64"/>
      </top>
      <bottom style="double">
        <color indexed="64"/>
      </bottom>
      <diagonal/>
    </border>
    <border>
      <left style="thin">
        <color rgb="FF000000"/>
      </left>
      <right style="thin">
        <color indexed="64"/>
      </right>
      <top style="thin">
        <color indexed="64"/>
      </top>
      <bottom style="double">
        <color indexed="64"/>
      </bottom>
      <diagonal/>
    </border>
    <border diagonalUp="1" diagonalDown="1">
      <left style="dashed">
        <color indexed="64"/>
      </left>
      <right style="dashed">
        <color indexed="64"/>
      </right>
      <top style="dashed">
        <color indexed="64"/>
      </top>
      <bottom style="dashed">
        <color indexed="64"/>
      </bottom>
      <diagonal style="dashed">
        <color indexed="64"/>
      </diagonal>
    </border>
    <border diagonalUp="1" diagonalDown="1">
      <left style="dashed">
        <color indexed="64"/>
      </left>
      <right/>
      <top style="dashed">
        <color indexed="64"/>
      </top>
      <bottom style="dashed">
        <color indexed="64"/>
      </bottom>
      <diagonal style="dashed">
        <color indexed="64"/>
      </diagonal>
    </border>
    <border diagonalUp="1" diagonalDown="1">
      <left/>
      <right/>
      <top style="dashed">
        <color indexed="64"/>
      </top>
      <bottom style="dashed">
        <color auto="1"/>
      </bottom>
      <diagonal style="dashed">
        <color indexed="64"/>
      </diagonal>
    </border>
    <border diagonalUp="1" diagonalDown="1">
      <left/>
      <right style="dashed">
        <color indexed="64"/>
      </right>
      <top style="dashed">
        <color indexed="64"/>
      </top>
      <bottom style="dashed">
        <color indexed="64"/>
      </bottom>
      <diagonal style="dashed">
        <color indexed="64"/>
      </diagonal>
    </border>
    <border diagonalUp="1" diagonalDown="1">
      <left style="dashed">
        <color indexed="64"/>
      </left>
      <right style="dashed">
        <color indexed="64"/>
      </right>
      <top style="dashed">
        <color indexed="64"/>
      </top>
      <bottom/>
      <diagonal style="dashed">
        <color indexed="64"/>
      </diagonal>
    </border>
    <border diagonalUp="1" diagonalDown="1">
      <left style="dashed">
        <color indexed="64"/>
      </left>
      <right/>
      <top style="dashed">
        <color indexed="64"/>
      </top>
      <bottom/>
      <diagonal style="dashed">
        <color indexed="64"/>
      </diagonal>
    </border>
    <border diagonalUp="1" diagonalDown="1">
      <left/>
      <right/>
      <top style="dashed">
        <color indexed="64"/>
      </top>
      <bottom/>
      <diagonal style="dashed">
        <color indexed="64"/>
      </diagonal>
    </border>
    <border diagonalUp="1" diagonalDown="1">
      <left/>
      <right style="dashed">
        <color indexed="64"/>
      </right>
      <top style="dashed">
        <color indexed="64"/>
      </top>
      <bottom/>
      <diagonal style="dashed">
        <color indexed="64"/>
      </diagonal>
    </border>
    <border>
      <left style="thin">
        <color rgb="FF000000"/>
      </left>
      <right style="thin">
        <color rgb="FF000000"/>
      </right>
      <top/>
      <bottom/>
      <diagonal/>
    </border>
    <border diagonalUp="1" diagonalDown="1">
      <left style="dashed">
        <color indexed="64"/>
      </left>
      <right style="dashed">
        <color indexed="64"/>
      </right>
      <top/>
      <bottom style="dashed">
        <color indexed="64"/>
      </bottom>
      <diagonal style="dashed">
        <color indexed="64"/>
      </diagonal>
    </border>
    <border diagonalUp="1" diagonalDown="1">
      <left style="dashed">
        <color indexed="64"/>
      </left>
      <right/>
      <top/>
      <bottom style="dashed">
        <color indexed="64"/>
      </bottom>
      <diagonal style="dashed">
        <color indexed="64"/>
      </diagonal>
    </border>
    <border diagonalUp="1" diagonalDown="1">
      <left/>
      <right/>
      <top/>
      <bottom style="dashed">
        <color auto="1"/>
      </bottom>
      <diagonal style="dashed">
        <color indexed="64"/>
      </diagonal>
    </border>
    <border diagonalUp="1" diagonalDown="1">
      <left/>
      <right style="dashed">
        <color indexed="64"/>
      </right>
      <top/>
      <bottom style="dashed">
        <color indexed="64"/>
      </bottom>
      <diagonal style="dashed">
        <color indexed="64"/>
      </diagonal>
    </border>
  </borders>
  <cellStyleXfs count="7">
    <xf numFmtId="0" fontId="0" fillId="0" borderId="0"/>
    <xf numFmtId="165" fontId="6" fillId="0" borderId="0" applyFont="0" applyFill="0" applyBorder="0" applyAlignment="0" applyProtection="0"/>
    <xf numFmtId="164" fontId="6"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30" fillId="0" borderId="0"/>
  </cellStyleXfs>
  <cellXfs count="2911">
    <xf numFmtId="0" fontId="0" fillId="0" borderId="0" xfId="0"/>
    <xf numFmtId="0" fontId="0" fillId="0" borderId="0" xfId="0" applyAlignment="1">
      <alignment horizontal="left" vertical="top" wrapText="1"/>
    </xf>
    <xf numFmtId="0" fontId="0" fillId="0" borderId="0" xfId="0" applyAlignment="1"/>
    <xf numFmtId="0" fontId="7" fillId="0" borderId="0" xfId="0" applyFont="1"/>
    <xf numFmtId="0" fontId="21" fillId="0" borderId="0" xfId="0" applyFont="1" applyAlignment="1"/>
    <xf numFmtId="0" fontId="5" fillId="8" borderId="26" xfId="3" quotePrefix="1" applyFill="1" applyBorder="1"/>
    <xf numFmtId="0" fontId="5" fillId="8" borderId="26" xfId="3" applyFill="1" applyBorder="1" applyAlignment="1">
      <alignment horizontal="left"/>
    </xf>
    <xf numFmtId="0" fontId="5" fillId="8" borderId="26" xfId="3" applyFill="1" applyBorder="1"/>
    <xf numFmtId="3" fontId="0" fillId="0" borderId="0" xfId="0" applyNumberFormat="1"/>
    <xf numFmtId="0" fontId="5" fillId="8" borderId="28" xfId="3" applyFill="1" applyBorder="1"/>
    <xf numFmtId="0" fontId="0" fillId="0" borderId="0" xfId="0" applyAlignment="1"/>
    <xf numFmtId="0" fontId="0" fillId="0" borderId="0" xfId="0" applyBorder="1" applyAlignment="1"/>
    <xf numFmtId="0" fontId="2" fillId="8" borderId="26" xfId="3" quotePrefix="1" applyFont="1" applyFill="1" applyBorder="1"/>
    <xf numFmtId="0" fontId="2" fillId="8" borderId="26" xfId="3" quotePrefix="1" applyFont="1" applyFill="1" applyBorder="1" applyAlignment="1">
      <alignment horizontal="left"/>
    </xf>
    <xf numFmtId="0" fontId="1" fillId="8" borderId="27" xfId="3" applyFont="1" applyFill="1" applyBorder="1" applyProtection="1">
      <protection locked="0"/>
    </xf>
    <xf numFmtId="0" fontId="26" fillId="0" borderId="0" xfId="0" applyFont="1" applyBorder="1" applyAlignment="1" applyProtection="1">
      <alignment vertical="top" wrapText="1" shrinkToFit="1"/>
    </xf>
    <xf numFmtId="0" fontId="27" fillId="0" borderId="0" xfId="0" applyFont="1" applyBorder="1" applyProtection="1"/>
    <xf numFmtId="0" fontId="28" fillId="0" borderId="0" xfId="0" applyFont="1" applyBorder="1" applyProtection="1"/>
    <xf numFmtId="0" fontId="26" fillId="0" borderId="0" xfId="0" applyFont="1" applyBorder="1" applyProtection="1"/>
    <xf numFmtId="0" fontId="29" fillId="0" borderId="29" xfId="0" applyFont="1" applyBorder="1" applyProtection="1"/>
    <xf numFmtId="0" fontId="27" fillId="0" borderId="30" xfId="0" applyFont="1" applyBorder="1" applyProtection="1"/>
    <xf numFmtId="0" fontId="26" fillId="0" borderId="34" xfId="0" applyFont="1" applyBorder="1" applyProtection="1"/>
    <xf numFmtId="0" fontId="29" fillId="0" borderId="35" xfId="0" applyFont="1" applyBorder="1" applyProtection="1"/>
    <xf numFmtId="0" fontId="29" fillId="0" borderId="36" xfId="0" applyFont="1" applyBorder="1" applyAlignment="1" applyProtection="1">
      <alignment horizontal="center"/>
    </xf>
    <xf numFmtId="0" fontId="29" fillId="0" borderId="37" xfId="0" applyFont="1" applyBorder="1" applyAlignment="1" applyProtection="1">
      <alignment horizontal="center"/>
    </xf>
    <xf numFmtId="0" fontId="29" fillId="0" borderId="36" xfId="1" applyNumberFormat="1" applyFont="1" applyBorder="1" applyProtection="1"/>
    <xf numFmtId="0" fontId="27" fillId="0" borderId="38" xfId="0" applyFont="1" applyBorder="1" applyProtection="1"/>
    <xf numFmtId="0" fontId="26" fillId="0" borderId="42" xfId="0" applyFont="1" applyBorder="1" applyProtection="1"/>
    <xf numFmtId="0" fontId="27" fillId="0" borderId="43" xfId="0" applyFont="1" applyBorder="1" applyProtection="1"/>
    <xf numFmtId="0" fontId="27" fillId="0" borderId="44" xfId="0" applyFont="1" applyBorder="1" applyProtection="1"/>
    <xf numFmtId="0" fontId="27" fillId="0" borderId="48" xfId="0" applyFont="1" applyBorder="1" applyProtection="1"/>
    <xf numFmtId="0" fontId="27" fillId="0" borderId="49" xfId="0" applyFont="1" applyBorder="1" applyProtection="1"/>
    <xf numFmtId="0" fontId="27" fillId="0" borderId="53" xfId="0" applyFont="1" applyBorder="1" applyProtection="1"/>
    <xf numFmtId="0" fontId="27" fillId="0" borderId="54" xfId="0" applyFont="1" applyBorder="1" applyProtection="1"/>
    <xf numFmtId="0" fontId="27" fillId="0" borderId="58" xfId="0" applyFont="1" applyBorder="1" applyProtection="1"/>
    <xf numFmtId="3" fontId="32" fillId="0" borderId="59" xfId="0" applyNumberFormat="1" applyFont="1" applyFill="1" applyBorder="1" applyProtection="1"/>
    <xf numFmtId="3" fontId="27" fillId="0" borderId="59" xfId="1" applyNumberFormat="1" applyFont="1" applyBorder="1" applyProtection="1"/>
    <xf numFmtId="0" fontId="27" fillId="0" borderId="59" xfId="0" applyFont="1" applyBorder="1" applyProtection="1"/>
    <xf numFmtId="0" fontId="26" fillId="0" borderId="62" xfId="0" applyFont="1" applyBorder="1" applyProtection="1"/>
    <xf numFmtId="0" fontId="36" fillId="9" borderId="35" xfId="0" applyFont="1" applyFill="1" applyBorder="1" applyAlignment="1" applyProtection="1">
      <alignment horizontal="center" vertical="center"/>
    </xf>
    <xf numFmtId="3" fontId="36" fillId="11" borderId="35" xfId="0" applyNumberFormat="1" applyFont="1" applyFill="1" applyBorder="1" applyAlignment="1" applyProtection="1">
      <alignment horizontal="right"/>
      <protection locked="0"/>
    </xf>
    <xf numFmtId="3" fontId="30" fillId="11" borderId="35" xfId="0" applyNumberFormat="1" applyFont="1" applyFill="1" applyBorder="1" applyAlignment="1" applyProtection="1">
      <alignment horizontal="right"/>
      <protection locked="0"/>
    </xf>
    <xf numFmtId="3" fontId="37" fillId="9" borderId="35" xfId="0" applyNumberFormat="1" applyFont="1" applyFill="1" applyBorder="1" applyAlignment="1" applyProtection="1">
      <alignment horizontal="right"/>
    </xf>
    <xf numFmtId="0" fontId="7" fillId="0" borderId="75" xfId="0" applyFont="1" applyBorder="1"/>
    <xf numFmtId="0" fontId="7" fillId="0" borderId="75" xfId="0" applyFont="1" applyBorder="1" applyAlignment="1"/>
    <xf numFmtId="0" fontId="60" fillId="0" borderId="0" xfId="0" applyFont="1"/>
    <xf numFmtId="0" fontId="60" fillId="0" borderId="0" xfId="0" applyFont="1" applyAlignment="1">
      <alignment horizontal="justify" vertical="top" wrapText="1"/>
    </xf>
    <xf numFmtId="0" fontId="0" fillId="0" borderId="0" xfId="0"/>
    <xf numFmtId="0" fontId="0" fillId="0" borderId="122" xfId="0" applyBorder="1" applyAlignment="1">
      <alignment vertical="top"/>
    </xf>
    <xf numFmtId="0" fontId="0" fillId="0" borderId="0" xfId="0" applyBorder="1" applyAlignment="1">
      <alignment vertical="top"/>
    </xf>
    <xf numFmtId="0" fontId="0" fillId="0" borderId="0" xfId="0" applyBorder="1"/>
    <xf numFmtId="0" fontId="0" fillId="0" borderId="0" xfId="0"/>
    <xf numFmtId="0" fontId="27" fillId="12" borderId="48" xfId="0" applyFont="1" applyFill="1" applyBorder="1" applyProtection="1">
      <protection hidden="1"/>
    </xf>
    <xf numFmtId="0" fontId="27" fillId="12" borderId="49" xfId="0" applyFont="1" applyFill="1" applyBorder="1" applyProtection="1">
      <protection hidden="1"/>
    </xf>
    <xf numFmtId="0" fontId="29" fillId="12" borderId="48" xfId="0" applyFont="1" applyFill="1" applyBorder="1" applyProtection="1">
      <protection hidden="1"/>
    </xf>
    <xf numFmtId="0" fontId="43" fillId="13" borderId="65" xfId="0" applyFont="1" applyFill="1" applyBorder="1" applyAlignment="1" applyProtection="1">
      <protection hidden="1"/>
    </xf>
    <xf numFmtId="0" fontId="43" fillId="13" borderId="5" xfId="0" applyFont="1" applyFill="1" applyBorder="1" applyAlignment="1" applyProtection="1">
      <protection hidden="1"/>
    </xf>
    <xf numFmtId="0" fontId="43" fillId="14" borderId="35" xfId="0" applyFont="1" applyFill="1" applyBorder="1" applyAlignment="1" applyProtection="1">
      <protection hidden="1"/>
    </xf>
    <xf numFmtId="0" fontId="43" fillId="14" borderId="0" xfId="0" applyFont="1" applyFill="1" applyBorder="1" applyAlignment="1" applyProtection="1">
      <protection hidden="1"/>
    </xf>
    <xf numFmtId="0" fontId="53" fillId="13" borderId="35" xfId="0" applyFont="1" applyFill="1" applyBorder="1" applyAlignment="1" applyProtection="1">
      <protection hidden="1"/>
    </xf>
    <xf numFmtId="0" fontId="53" fillId="13" borderId="0" xfId="0" applyFont="1" applyFill="1" applyBorder="1" applyAlignment="1" applyProtection="1">
      <protection hidden="1"/>
    </xf>
    <xf numFmtId="0" fontId="43" fillId="13" borderId="35" xfId="0" applyFont="1" applyFill="1" applyBorder="1" applyAlignment="1" applyProtection="1">
      <protection hidden="1"/>
    </xf>
    <xf numFmtId="0" fontId="43" fillId="13" borderId="0" xfId="0" applyFont="1" applyFill="1" applyBorder="1" applyAlignment="1" applyProtection="1">
      <protection hidden="1"/>
    </xf>
    <xf numFmtId="0" fontId="43" fillId="14" borderId="58" xfId="0" applyFont="1" applyFill="1" applyBorder="1" applyAlignment="1" applyProtection="1">
      <protection hidden="1"/>
    </xf>
    <xf numFmtId="0" fontId="43" fillId="14" borderId="59" xfId="0" applyFont="1" applyFill="1" applyBorder="1" applyAlignment="1" applyProtection="1">
      <protection hidden="1"/>
    </xf>
    <xf numFmtId="37" fontId="26" fillId="14" borderId="55" xfId="0" applyNumberFormat="1" applyFont="1" applyFill="1" applyBorder="1" applyAlignment="1" applyProtection="1">
      <protection hidden="1"/>
    </xf>
    <xf numFmtId="0" fontId="26" fillId="17" borderId="0" xfId="0" applyFont="1" applyFill="1" applyProtection="1">
      <protection hidden="1"/>
    </xf>
    <xf numFmtId="0" fontId="26" fillId="17" borderId="0" xfId="0" applyFont="1" applyFill="1" applyProtection="1"/>
    <xf numFmtId="0" fontId="26" fillId="17" borderId="0" xfId="0" applyFont="1" applyFill="1" applyAlignment="1" applyProtection="1">
      <alignment vertical="center"/>
    </xf>
    <xf numFmtId="0" fontId="26" fillId="17" borderId="0" xfId="0" quotePrefix="1" applyFont="1" applyFill="1" applyProtection="1"/>
    <xf numFmtId="0" fontId="0" fillId="17" borderId="0" xfId="0" applyFill="1" applyAlignment="1">
      <alignment vertical="center"/>
    </xf>
    <xf numFmtId="0" fontId="0" fillId="17" borderId="0" xfId="0" quotePrefix="1" applyFill="1"/>
    <xf numFmtId="0" fontId="26" fillId="17" borderId="0" xfId="0" applyFont="1" applyFill="1" applyAlignment="1" applyProtection="1">
      <alignment vertical="top" wrapText="1" shrinkToFit="1"/>
    </xf>
    <xf numFmtId="0" fontId="26" fillId="17" borderId="0" xfId="0" applyFont="1" applyFill="1" applyAlignment="1" applyProtection="1">
      <alignment vertical="center" wrapText="1" shrinkToFit="1"/>
    </xf>
    <xf numFmtId="0" fontId="43" fillId="17" borderId="0" xfId="0" applyFont="1" applyFill="1" applyProtection="1">
      <protection hidden="1"/>
    </xf>
    <xf numFmtId="0" fontId="28" fillId="17" borderId="0" xfId="0" applyFont="1" applyFill="1" applyProtection="1">
      <protection hidden="1"/>
    </xf>
    <xf numFmtId="0" fontId="26" fillId="17" borderId="0" xfId="0" applyFont="1" applyFill="1" applyAlignment="1" applyProtection="1">
      <alignment horizontal="left" vertical="center"/>
    </xf>
    <xf numFmtId="0" fontId="36" fillId="17" borderId="3" xfId="0" applyFont="1" applyFill="1" applyBorder="1" applyAlignment="1" applyProtection="1">
      <alignment horizontal="center" vertical="center"/>
      <protection hidden="1"/>
    </xf>
    <xf numFmtId="0" fontId="36" fillId="17" borderId="64" xfId="0" applyFont="1" applyFill="1" applyBorder="1" applyAlignment="1" applyProtection="1">
      <alignment horizontal="center" vertical="center"/>
      <protection hidden="1"/>
    </xf>
    <xf numFmtId="0" fontId="26" fillId="17" borderId="0" xfId="0" applyFont="1" applyFill="1" applyBorder="1" applyProtection="1">
      <protection hidden="1"/>
    </xf>
    <xf numFmtId="0" fontId="27" fillId="17" borderId="0" xfId="0" applyFont="1" applyFill="1" applyProtection="1">
      <protection hidden="1"/>
    </xf>
    <xf numFmtId="0" fontId="26" fillId="17" borderId="0" xfId="0" applyFont="1" applyFill="1" applyAlignment="1" applyProtection="1">
      <alignment horizontal="center" vertical="center"/>
    </xf>
    <xf numFmtId="0" fontId="26" fillId="17" borderId="0" xfId="0" applyFont="1" applyFill="1" applyAlignment="1" applyProtection="1">
      <alignment horizontal="center" vertical="top" wrapText="1" shrinkToFit="1"/>
    </xf>
    <xf numFmtId="0" fontId="26" fillId="17" borderId="0" xfId="0" applyFont="1" applyFill="1" applyAlignment="1" applyProtection="1">
      <alignment horizontal="center" vertical="center" wrapText="1" shrinkToFit="1"/>
    </xf>
    <xf numFmtId="0" fontId="26" fillId="17" borderId="0" xfId="0" applyFont="1" applyFill="1" applyBorder="1" applyAlignment="1" applyProtection="1">
      <alignment horizontal="center" vertical="top" wrapText="1" shrinkToFit="1"/>
    </xf>
    <xf numFmtId="0" fontId="26" fillId="17" borderId="0" xfId="0" applyFont="1" applyFill="1" applyBorder="1" applyAlignment="1" applyProtection="1">
      <alignment horizontal="center" vertical="center" wrapText="1" shrinkToFit="1"/>
    </xf>
    <xf numFmtId="0" fontId="26" fillId="17" borderId="0" xfId="0" applyFont="1" applyFill="1" applyBorder="1" applyProtection="1"/>
    <xf numFmtId="0" fontId="28" fillId="17" borderId="0" xfId="0" applyFont="1" applyFill="1" applyProtection="1"/>
    <xf numFmtId="0" fontId="27" fillId="17" borderId="53" xfId="0" applyFont="1" applyFill="1" applyBorder="1" applyProtection="1">
      <protection hidden="1"/>
    </xf>
    <xf numFmtId="0" fontId="27" fillId="17" borderId="54" xfId="0" applyFont="1" applyFill="1" applyBorder="1" applyProtection="1">
      <protection hidden="1"/>
    </xf>
    <xf numFmtId="0" fontId="42" fillId="17" borderId="0" xfId="0" applyFont="1" applyFill="1" applyAlignment="1" applyProtection="1"/>
    <xf numFmtId="0" fontId="42" fillId="17" borderId="0" xfId="0" applyFont="1" applyFill="1" applyAlignment="1" applyProtection="1">
      <alignment vertical="center"/>
    </xf>
    <xf numFmtId="0" fontId="26" fillId="17" borderId="0" xfId="0" applyFont="1" applyFill="1" applyAlignment="1" applyProtection="1">
      <alignment horizontal="center" vertical="center"/>
      <protection hidden="1"/>
    </xf>
    <xf numFmtId="0" fontId="28" fillId="17" borderId="93" xfId="0" applyFont="1" applyFill="1" applyBorder="1" applyAlignment="1" applyProtection="1">
      <alignment horizontal="center"/>
      <protection hidden="1"/>
    </xf>
    <xf numFmtId="0" fontId="28" fillId="17" borderId="14" xfId="0" applyFont="1" applyFill="1" applyBorder="1" applyAlignment="1" applyProtection="1">
      <alignment vertical="center" wrapText="1"/>
      <protection hidden="1"/>
    </xf>
    <xf numFmtId="0" fontId="28" fillId="17" borderId="15" xfId="0" applyFont="1" applyFill="1" applyBorder="1" applyAlignment="1" applyProtection="1">
      <alignment vertical="center" wrapText="1"/>
      <protection hidden="1"/>
    </xf>
    <xf numFmtId="0" fontId="28" fillId="17" borderId="94" xfId="0" applyFont="1" applyFill="1" applyBorder="1" applyAlignment="1" applyProtection="1">
      <alignment horizontal="center"/>
      <protection hidden="1"/>
    </xf>
    <xf numFmtId="0" fontId="26" fillId="17" borderId="95" xfId="0" applyFont="1" applyFill="1" applyBorder="1" applyProtection="1">
      <protection hidden="1"/>
    </xf>
    <xf numFmtId="0" fontId="26" fillId="17" borderId="96" xfId="0" applyFont="1" applyFill="1" applyBorder="1" applyProtection="1">
      <protection hidden="1"/>
    </xf>
    <xf numFmtId="3" fontId="28" fillId="17" borderId="96" xfId="0" applyNumberFormat="1" applyFont="1" applyFill="1" applyBorder="1" applyProtection="1">
      <protection hidden="1"/>
    </xf>
    <xf numFmtId="0" fontId="28" fillId="17" borderId="95" xfId="0" applyFont="1" applyFill="1" applyBorder="1" applyProtection="1">
      <protection hidden="1"/>
    </xf>
    <xf numFmtId="0" fontId="28" fillId="17" borderId="96" xfId="0" applyFont="1" applyFill="1" applyBorder="1" applyProtection="1">
      <protection hidden="1"/>
    </xf>
    <xf numFmtId="3" fontId="28" fillId="17" borderId="94" xfId="0" applyNumberFormat="1" applyFont="1" applyFill="1" applyBorder="1" applyProtection="1">
      <protection hidden="1"/>
    </xf>
    <xf numFmtId="3" fontId="28" fillId="17" borderId="95" xfId="0" applyNumberFormat="1" applyFont="1" applyFill="1" applyBorder="1" applyProtection="1">
      <protection hidden="1"/>
    </xf>
    <xf numFmtId="3" fontId="28" fillId="17" borderId="97" xfId="0" applyNumberFormat="1" applyFont="1" applyFill="1" applyBorder="1" applyProtection="1">
      <protection hidden="1"/>
    </xf>
    <xf numFmtId="0" fontId="28" fillId="17" borderId="98" xfId="0" applyFont="1" applyFill="1" applyBorder="1" applyProtection="1">
      <protection hidden="1"/>
    </xf>
    <xf numFmtId="0" fontId="28" fillId="17" borderId="48" xfId="0" applyFont="1" applyFill="1" applyBorder="1" applyAlignment="1" applyProtection="1">
      <alignment horizontal="center"/>
      <protection hidden="1"/>
    </xf>
    <xf numFmtId="0" fontId="26" fillId="17" borderId="50" xfId="0" applyFont="1" applyFill="1" applyBorder="1" applyProtection="1">
      <protection hidden="1"/>
    </xf>
    <xf numFmtId="0" fontId="26" fillId="17" borderId="49" xfId="0" applyFont="1" applyFill="1" applyBorder="1" applyProtection="1">
      <protection hidden="1"/>
    </xf>
    <xf numFmtId="0" fontId="43" fillId="17" borderId="0" xfId="0" applyFont="1" applyFill="1" applyAlignment="1" applyProtection="1">
      <alignment vertical="center"/>
      <protection hidden="1"/>
    </xf>
    <xf numFmtId="0" fontId="42" fillId="17" borderId="48" xfId="0" applyFont="1" applyFill="1" applyBorder="1" applyAlignment="1" applyProtection="1">
      <alignment horizontal="center" vertical="center"/>
      <protection hidden="1"/>
    </xf>
    <xf numFmtId="0" fontId="43" fillId="17" borderId="50" xfId="0" applyFont="1" applyFill="1" applyBorder="1" applyAlignment="1" applyProtection="1">
      <alignment vertical="center"/>
      <protection hidden="1"/>
    </xf>
    <xf numFmtId="0" fontId="43" fillId="17" borderId="49" xfId="0" applyFont="1" applyFill="1" applyBorder="1" applyAlignment="1" applyProtection="1">
      <alignment vertical="center"/>
      <protection hidden="1"/>
    </xf>
    <xf numFmtId="0" fontId="43" fillId="17" borderId="0" xfId="0" applyFont="1" applyFill="1" applyAlignment="1" applyProtection="1">
      <alignment vertical="center"/>
    </xf>
    <xf numFmtId="0" fontId="26" fillId="17" borderId="48" xfId="0" applyFont="1" applyFill="1" applyBorder="1" applyAlignment="1" applyProtection="1">
      <alignment horizontal="center"/>
      <protection hidden="1"/>
    </xf>
    <xf numFmtId="3" fontId="26" fillId="17" borderId="50" xfId="0" applyNumberFormat="1" applyFont="1" applyFill="1" applyBorder="1" applyAlignment="1" applyProtection="1">
      <alignment horizontal="right"/>
      <protection hidden="1"/>
    </xf>
    <xf numFmtId="3" fontId="26" fillId="17" borderId="51" xfId="0" applyNumberFormat="1" applyFont="1" applyFill="1" applyBorder="1" applyAlignment="1" applyProtection="1">
      <alignment horizontal="right"/>
      <protection hidden="1"/>
    </xf>
    <xf numFmtId="3" fontId="30" fillId="17" borderId="49" xfId="0" applyNumberFormat="1" applyFont="1" applyFill="1" applyBorder="1" applyAlignment="1" applyProtection="1">
      <alignment horizontal="right"/>
      <protection hidden="1"/>
    </xf>
    <xf numFmtId="0" fontId="26" fillId="17" borderId="50" xfId="0" applyFont="1" applyFill="1" applyBorder="1" applyAlignment="1" applyProtection="1">
      <alignment horizontal="right"/>
      <protection hidden="1"/>
    </xf>
    <xf numFmtId="0" fontId="26" fillId="17" borderId="49" xfId="0" applyFont="1" applyFill="1" applyBorder="1" applyAlignment="1" applyProtection="1">
      <alignment horizontal="right"/>
      <protection hidden="1"/>
    </xf>
    <xf numFmtId="3" fontId="26" fillId="17" borderId="48" xfId="0" applyNumberFormat="1" applyFont="1" applyFill="1" applyBorder="1" applyAlignment="1" applyProtection="1">
      <alignment horizontal="right"/>
      <protection hidden="1"/>
    </xf>
    <xf numFmtId="3" fontId="26" fillId="17" borderId="49" xfId="0" applyNumberFormat="1" applyFont="1" applyFill="1" applyBorder="1" applyAlignment="1" applyProtection="1">
      <alignment horizontal="right"/>
      <protection hidden="1"/>
    </xf>
    <xf numFmtId="0" fontId="26" fillId="17" borderId="52" xfId="0" applyFont="1" applyFill="1" applyBorder="1" applyAlignment="1" applyProtection="1">
      <alignment horizontal="right"/>
      <protection hidden="1"/>
    </xf>
    <xf numFmtId="3" fontId="28" fillId="17" borderId="50" xfId="0" applyNumberFormat="1" applyFont="1" applyFill="1" applyBorder="1" applyAlignment="1" applyProtection="1">
      <protection hidden="1"/>
    </xf>
    <xf numFmtId="3" fontId="28" fillId="17" borderId="51" xfId="0" applyNumberFormat="1" applyFont="1" applyFill="1" applyBorder="1" applyAlignment="1" applyProtection="1">
      <protection hidden="1"/>
    </xf>
    <xf numFmtId="0" fontId="26" fillId="17" borderId="50" xfId="0" applyFont="1" applyFill="1" applyBorder="1" applyAlignment="1" applyProtection="1">
      <alignment horizontal="center"/>
      <protection hidden="1"/>
    </xf>
    <xf numFmtId="0" fontId="26" fillId="17" borderId="48" xfId="0" applyFont="1" applyFill="1" applyBorder="1" applyProtection="1">
      <protection hidden="1"/>
    </xf>
    <xf numFmtId="0" fontId="43" fillId="17" borderId="53" xfId="0" applyFont="1" applyFill="1" applyBorder="1" applyAlignment="1" applyProtection="1">
      <alignment vertical="center"/>
      <protection hidden="1"/>
    </xf>
    <xf numFmtId="0" fontId="43" fillId="17" borderId="55" xfId="0" applyFont="1" applyFill="1" applyBorder="1" applyAlignment="1" applyProtection="1">
      <alignment vertical="center"/>
      <protection hidden="1"/>
    </xf>
    <xf numFmtId="0" fontId="43" fillId="17" borderId="54" xfId="0" applyFont="1" applyFill="1" applyBorder="1" applyAlignment="1" applyProtection="1">
      <alignment vertical="center"/>
      <protection hidden="1"/>
    </xf>
    <xf numFmtId="0" fontId="47" fillId="17" borderId="99" xfId="0" applyFont="1" applyFill="1" applyBorder="1" applyAlignment="1" applyProtection="1">
      <alignment vertical="center"/>
      <protection hidden="1"/>
    </xf>
    <xf numFmtId="0" fontId="47" fillId="17" borderId="84" xfId="0" applyFont="1" applyFill="1" applyBorder="1" applyAlignment="1" applyProtection="1">
      <alignment vertical="center"/>
      <protection hidden="1"/>
    </xf>
    <xf numFmtId="3" fontId="47" fillId="17" borderId="80" xfId="0" applyNumberFormat="1" applyFont="1" applyFill="1" applyBorder="1" applyAlignment="1" applyProtection="1">
      <alignment horizontal="right" vertical="center"/>
      <protection hidden="1"/>
    </xf>
    <xf numFmtId="3" fontId="47" fillId="17" borderId="84" xfId="0" applyNumberFormat="1" applyFont="1" applyFill="1" applyBorder="1" applyAlignment="1" applyProtection="1">
      <alignment horizontal="right" vertical="center"/>
      <protection hidden="1"/>
    </xf>
    <xf numFmtId="37" fontId="47" fillId="17" borderId="80" xfId="0" applyNumberFormat="1" applyFont="1" applyFill="1" applyBorder="1" applyAlignment="1" applyProtection="1">
      <alignment horizontal="right" vertical="center"/>
      <protection hidden="1"/>
    </xf>
    <xf numFmtId="37" fontId="47" fillId="17" borderId="85" xfId="0" applyNumberFormat="1" applyFont="1" applyFill="1" applyBorder="1" applyAlignment="1" applyProtection="1">
      <alignment horizontal="right" vertical="center"/>
      <protection hidden="1"/>
    </xf>
    <xf numFmtId="4" fontId="47" fillId="17" borderId="84" xfId="0" applyNumberFormat="1" applyFont="1" applyFill="1" applyBorder="1" applyAlignment="1" applyProtection="1">
      <alignment horizontal="right" vertical="center"/>
      <protection hidden="1"/>
    </xf>
    <xf numFmtId="3" fontId="47" fillId="17" borderId="85" xfId="0" applyNumberFormat="1" applyFont="1" applyFill="1" applyBorder="1" applyAlignment="1" applyProtection="1">
      <alignment horizontal="right" vertical="center"/>
      <protection hidden="1"/>
    </xf>
    <xf numFmtId="37" fontId="47" fillId="17" borderId="84" xfId="0" applyNumberFormat="1" applyFont="1" applyFill="1" applyBorder="1" applyAlignment="1" applyProtection="1">
      <alignment horizontal="right" vertical="center"/>
      <protection hidden="1"/>
    </xf>
    <xf numFmtId="4" fontId="47" fillId="17" borderId="81" xfId="0" applyNumberFormat="1" applyFont="1" applyFill="1" applyBorder="1" applyAlignment="1" applyProtection="1">
      <alignment horizontal="right" vertical="center"/>
      <protection hidden="1"/>
    </xf>
    <xf numFmtId="0" fontId="43" fillId="17" borderId="48" xfId="0" applyFont="1" applyFill="1" applyBorder="1" applyAlignment="1" applyProtection="1">
      <alignment horizontal="center" vertical="center"/>
      <protection hidden="1"/>
    </xf>
    <xf numFmtId="3" fontId="43" fillId="17" borderId="49" xfId="0" applyNumberFormat="1" applyFont="1" applyFill="1" applyBorder="1" applyAlignment="1" applyProtection="1">
      <alignment horizontal="right" vertical="center"/>
      <protection hidden="1"/>
    </xf>
    <xf numFmtId="4" fontId="43" fillId="17" borderId="49" xfId="0" applyNumberFormat="1" applyFont="1" applyFill="1" applyBorder="1" applyAlignment="1" applyProtection="1">
      <alignment horizontal="right" vertical="center"/>
      <protection hidden="1"/>
    </xf>
    <xf numFmtId="3" fontId="43" fillId="17" borderId="50" xfId="0" applyNumberFormat="1" applyFont="1" applyFill="1" applyBorder="1" applyAlignment="1" applyProtection="1">
      <alignment horizontal="right" vertical="center"/>
      <protection hidden="1"/>
    </xf>
    <xf numFmtId="3" fontId="43" fillId="17" borderId="51" xfId="0" applyNumberFormat="1" applyFont="1" applyFill="1" applyBorder="1" applyAlignment="1" applyProtection="1">
      <alignment horizontal="right" vertical="center"/>
      <protection hidden="1"/>
    </xf>
    <xf numFmtId="37" fontId="43" fillId="17" borderId="50" xfId="0" applyNumberFormat="1" applyFont="1" applyFill="1" applyBorder="1" applyAlignment="1" applyProtection="1">
      <alignment horizontal="right" vertical="center"/>
      <protection hidden="1"/>
    </xf>
    <xf numFmtId="37" fontId="43" fillId="17" borderId="49" xfId="0" applyNumberFormat="1" applyFont="1" applyFill="1" applyBorder="1" applyAlignment="1" applyProtection="1">
      <alignment horizontal="right" vertical="center"/>
      <protection hidden="1"/>
    </xf>
    <xf numFmtId="37" fontId="43" fillId="17" borderId="51" xfId="0" applyNumberFormat="1" applyFont="1" applyFill="1" applyBorder="1" applyAlignment="1" applyProtection="1">
      <alignment horizontal="right" vertical="center"/>
      <protection hidden="1"/>
    </xf>
    <xf numFmtId="4" fontId="43" fillId="17" borderId="52" xfId="0" applyNumberFormat="1" applyFont="1" applyFill="1" applyBorder="1" applyAlignment="1" applyProtection="1">
      <alignment horizontal="right" vertical="center"/>
      <protection hidden="1"/>
    </xf>
    <xf numFmtId="0" fontId="43" fillId="17" borderId="48" xfId="0" applyFont="1" applyFill="1" applyBorder="1" applyAlignment="1" applyProtection="1">
      <alignment vertical="center"/>
      <protection hidden="1"/>
    </xf>
    <xf numFmtId="0" fontId="26" fillId="17" borderId="49" xfId="0" applyFont="1" applyFill="1" applyBorder="1" applyAlignment="1" applyProtection="1">
      <alignment vertical="center"/>
      <protection hidden="1"/>
    </xf>
    <xf numFmtId="37" fontId="26" fillId="17" borderId="50" xfId="0" applyNumberFormat="1" applyFont="1" applyFill="1" applyBorder="1" applyAlignment="1" applyProtection="1">
      <alignment horizontal="right"/>
      <protection hidden="1"/>
    </xf>
    <xf numFmtId="37" fontId="26" fillId="17" borderId="49" xfId="0" applyNumberFormat="1" applyFont="1" applyFill="1" applyBorder="1" applyAlignment="1" applyProtection="1">
      <alignment horizontal="right"/>
      <protection hidden="1"/>
    </xf>
    <xf numFmtId="37" fontId="26" fillId="17" borderId="51" xfId="0" applyNumberFormat="1" applyFont="1" applyFill="1" applyBorder="1" applyAlignment="1" applyProtection="1">
      <alignment horizontal="right"/>
      <protection hidden="1"/>
    </xf>
    <xf numFmtId="4" fontId="26" fillId="17" borderId="49" xfId="0" applyNumberFormat="1" applyFont="1" applyFill="1" applyBorder="1" applyAlignment="1" applyProtection="1">
      <alignment horizontal="right"/>
      <protection hidden="1"/>
    </xf>
    <xf numFmtId="4" fontId="26" fillId="17" borderId="52" xfId="0" applyNumberFormat="1" applyFont="1" applyFill="1" applyBorder="1" applyAlignment="1" applyProtection="1">
      <alignment horizontal="right"/>
      <protection hidden="1"/>
    </xf>
    <xf numFmtId="0" fontId="48" fillId="17" borderId="53" xfId="0" applyFont="1" applyFill="1" applyBorder="1" applyProtection="1">
      <protection hidden="1"/>
    </xf>
    <xf numFmtId="0" fontId="48" fillId="17" borderId="54" xfId="0" applyFont="1" applyFill="1" applyBorder="1" applyProtection="1">
      <protection hidden="1"/>
    </xf>
    <xf numFmtId="0" fontId="48" fillId="17" borderId="55" xfId="0" applyFont="1" applyFill="1" applyBorder="1" applyProtection="1">
      <protection hidden="1"/>
    </xf>
    <xf numFmtId="0" fontId="48" fillId="17" borderId="56" xfId="0" applyFont="1" applyFill="1" applyBorder="1" applyProtection="1">
      <protection hidden="1"/>
    </xf>
    <xf numFmtId="0" fontId="48" fillId="17" borderId="57" xfId="0" applyFont="1" applyFill="1" applyBorder="1" applyProtection="1">
      <protection hidden="1"/>
    </xf>
    <xf numFmtId="0" fontId="54" fillId="17" borderId="0" xfId="0" applyFont="1" applyFill="1" applyBorder="1" applyAlignment="1" applyProtection="1"/>
    <xf numFmtId="0" fontId="54" fillId="17" borderId="0" xfId="0" applyFont="1" applyFill="1" applyBorder="1" applyAlignment="1" applyProtection="1">
      <alignment vertical="center"/>
    </xf>
    <xf numFmtId="0" fontId="29" fillId="17" borderId="100" xfId="0" applyFont="1" applyFill="1" applyBorder="1" applyProtection="1">
      <protection hidden="1"/>
    </xf>
    <xf numFmtId="0" fontId="27" fillId="17" borderId="96" xfId="0" applyFont="1" applyFill="1" applyBorder="1" applyProtection="1">
      <protection hidden="1"/>
    </xf>
    <xf numFmtId="167" fontId="27" fillId="17" borderId="95" xfId="0" applyNumberFormat="1" applyFont="1" applyFill="1" applyBorder="1" applyAlignment="1" applyProtection="1">
      <alignment horizontal="left"/>
      <protection hidden="1"/>
    </xf>
    <xf numFmtId="0" fontId="27" fillId="17" borderId="98" xfId="0" applyFont="1" applyFill="1" applyBorder="1" applyProtection="1">
      <protection hidden="1"/>
    </xf>
    <xf numFmtId="167" fontId="27" fillId="17" borderId="96" xfId="0" applyNumberFormat="1" applyFont="1" applyFill="1" applyBorder="1" applyAlignment="1" applyProtection="1">
      <alignment horizontal="left"/>
      <protection hidden="1"/>
    </xf>
    <xf numFmtId="167" fontId="32" fillId="17" borderId="50" xfId="0" applyNumberFormat="1" applyFont="1" applyFill="1" applyBorder="1" applyAlignment="1" applyProtection="1">
      <alignment horizontal="right"/>
      <protection hidden="1"/>
    </xf>
    <xf numFmtId="0" fontId="32" fillId="17" borderId="52" xfId="0" applyFont="1" applyFill="1" applyBorder="1" applyAlignment="1" applyProtection="1">
      <alignment horizontal="right"/>
      <protection hidden="1"/>
    </xf>
    <xf numFmtId="167" fontId="32" fillId="17" borderId="49" xfId="0" applyNumberFormat="1" applyFont="1" applyFill="1" applyBorder="1" applyAlignment="1" applyProtection="1">
      <alignment horizontal="right"/>
      <protection hidden="1"/>
    </xf>
    <xf numFmtId="0" fontId="43" fillId="17" borderId="0" xfId="0" applyFont="1" applyFill="1" applyProtection="1"/>
    <xf numFmtId="0" fontId="26" fillId="17" borderId="4" xfId="0" applyFont="1" applyFill="1" applyBorder="1" applyProtection="1">
      <protection hidden="1"/>
    </xf>
    <xf numFmtId="0" fontId="26" fillId="17" borderId="5" xfId="0" applyFont="1" applyFill="1" applyBorder="1" applyProtection="1">
      <protection hidden="1"/>
    </xf>
    <xf numFmtId="0" fontId="26" fillId="17" borderId="76" xfId="0" applyFont="1" applyFill="1" applyBorder="1" applyProtection="1">
      <protection hidden="1"/>
    </xf>
    <xf numFmtId="0" fontId="43" fillId="17" borderId="35" xfId="0" applyFont="1" applyFill="1" applyBorder="1" applyProtection="1">
      <protection hidden="1"/>
    </xf>
    <xf numFmtId="0" fontId="26" fillId="17" borderId="82" xfId="0" applyFont="1" applyFill="1" applyBorder="1" applyProtection="1">
      <protection hidden="1"/>
    </xf>
    <xf numFmtId="0" fontId="26" fillId="17" borderId="35" xfId="0" applyFont="1" applyFill="1" applyBorder="1" applyProtection="1">
      <protection hidden="1"/>
    </xf>
    <xf numFmtId="37" fontId="26" fillId="17" borderId="50" xfId="0" applyNumberFormat="1" applyFont="1" applyFill="1" applyBorder="1" applyAlignment="1" applyProtection="1">
      <protection hidden="1"/>
    </xf>
    <xf numFmtId="4" fontId="26" fillId="17" borderId="50" xfId="0" applyNumberFormat="1" applyFont="1" applyFill="1" applyBorder="1" applyAlignment="1" applyProtection="1">
      <alignment horizontal="right"/>
      <protection hidden="1"/>
    </xf>
    <xf numFmtId="0" fontId="51" fillId="17" borderId="0" xfId="0" applyFont="1" applyFill="1" applyBorder="1" applyProtection="1">
      <protection hidden="1"/>
    </xf>
    <xf numFmtId="0" fontId="51" fillId="17" borderId="0" xfId="0" applyFont="1" applyFill="1" applyProtection="1">
      <protection hidden="1"/>
    </xf>
    <xf numFmtId="0" fontId="55" fillId="17" borderId="0" xfId="0" applyFont="1" applyFill="1" applyBorder="1" applyProtection="1">
      <protection hidden="1"/>
    </xf>
    <xf numFmtId="37" fontId="55" fillId="17" borderId="50" xfId="0" applyNumberFormat="1" applyFont="1" applyFill="1" applyBorder="1" applyAlignment="1" applyProtection="1">
      <protection hidden="1"/>
    </xf>
    <xf numFmtId="0" fontId="26" fillId="17" borderId="108" xfId="0" applyFont="1" applyFill="1" applyBorder="1" applyProtection="1">
      <protection hidden="1"/>
    </xf>
    <xf numFmtId="0" fontId="26" fillId="17" borderId="13" xfId="0" applyFont="1" applyFill="1" applyBorder="1" applyProtection="1">
      <protection hidden="1"/>
    </xf>
    <xf numFmtId="0" fontId="0" fillId="17" borderId="51" xfId="0" applyFill="1" applyBorder="1" applyProtection="1">
      <protection hidden="1"/>
    </xf>
    <xf numFmtId="0" fontId="0" fillId="17" borderId="52" xfId="0" applyFill="1" applyBorder="1" applyProtection="1">
      <protection hidden="1"/>
    </xf>
    <xf numFmtId="0" fontId="54" fillId="17" borderId="0" xfId="0" applyFont="1" applyFill="1" applyBorder="1" applyProtection="1">
      <protection hidden="1"/>
    </xf>
    <xf numFmtId="0" fontId="36" fillId="17" borderId="0" xfId="0" applyFont="1" applyFill="1" applyBorder="1" applyAlignment="1" applyProtection="1">
      <alignment horizontal="right"/>
    </xf>
    <xf numFmtId="0" fontId="36" fillId="17" borderId="0" xfId="0" applyFont="1" applyFill="1" applyBorder="1" applyAlignment="1" applyProtection="1">
      <alignment horizontal="right" vertical="center"/>
    </xf>
    <xf numFmtId="0" fontId="36" fillId="17" borderId="0" xfId="0" applyFont="1" applyFill="1" applyAlignment="1" applyProtection="1">
      <alignment vertical="center"/>
    </xf>
    <xf numFmtId="3" fontId="36" fillId="17" borderId="0" xfId="0" applyNumberFormat="1" applyFont="1" applyFill="1" applyBorder="1" applyAlignment="1" applyProtection="1">
      <alignment horizontal="right"/>
    </xf>
    <xf numFmtId="3" fontId="36" fillId="17" borderId="0" xfId="0" applyNumberFormat="1" applyFont="1" applyFill="1" applyBorder="1" applyAlignment="1" applyProtection="1">
      <alignment horizontal="right" vertical="center"/>
    </xf>
    <xf numFmtId="3" fontId="36" fillId="17" borderId="0" xfId="0" applyNumberFormat="1" applyFont="1" applyFill="1" applyAlignment="1" applyProtection="1">
      <alignment vertical="center"/>
    </xf>
    <xf numFmtId="0" fontId="36" fillId="17" borderId="0" xfId="0" applyFont="1" applyFill="1" applyBorder="1" applyAlignment="1" applyProtection="1">
      <alignment vertical="center"/>
    </xf>
    <xf numFmtId="0" fontId="26" fillId="17" borderId="0" xfId="0" applyFont="1" applyFill="1" applyAlignment="1" applyProtection="1">
      <alignment horizontal="left"/>
    </xf>
    <xf numFmtId="3" fontId="28" fillId="17" borderId="0" xfId="0" applyNumberFormat="1" applyFont="1" applyFill="1" applyProtection="1"/>
    <xf numFmtId="10" fontId="26" fillId="17" borderId="0" xfId="0" applyNumberFormat="1" applyFont="1" applyFill="1" applyBorder="1" applyAlignment="1" applyProtection="1"/>
    <xf numFmtId="0" fontId="0" fillId="17" borderId="0" xfId="0" applyFill="1"/>
    <xf numFmtId="0" fontId="10" fillId="17" borderId="0" xfId="0" applyFont="1" applyFill="1" applyAlignment="1">
      <alignment horizontal="right" vertical="center"/>
    </xf>
    <xf numFmtId="0" fontId="11" fillId="17" borderId="0" xfId="0" applyFont="1" applyFill="1" applyAlignment="1">
      <alignment horizontal="center" vertical="center"/>
    </xf>
    <xf numFmtId="0" fontId="12" fillId="17" borderId="0" xfId="0" applyFont="1" applyFill="1" applyAlignment="1">
      <alignment vertical="center"/>
    </xf>
    <xf numFmtId="3" fontId="0" fillId="17" borderId="0" xfId="0" applyNumberFormat="1" applyFill="1"/>
    <xf numFmtId="0" fontId="12" fillId="17" borderId="0" xfId="0" applyFont="1" applyFill="1" applyAlignment="1">
      <alignment vertical="center" wrapText="1"/>
    </xf>
    <xf numFmtId="3" fontId="12" fillId="17" borderId="0" xfId="0" applyNumberFormat="1" applyFont="1" applyFill="1" applyAlignment="1">
      <alignment vertical="center" wrapText="1"/>
    </xf>
    <xf numFmtId="0" fontId="62" fillId="0" borderId="0" xfId="0" applyFont="1" applyAlignment="1">
      <alignment vertical="top" wrapText="1"/>
    </xf>
    <xf numFmtId="0" fontId="60" fillId="0" borderId="0" xfId="0" applyFont="1" applyAlignment="1"/>
    <xf numFmtId="0" fontId="63" fillId="0" borderId="0" xfId="0" applyFont="1" applyAlignment="1"/>
    <xf numFmtId="0" fontId="60" fillId="0" borderId="0" xfId="0" applyFont="1" applyAlignment="1">
      <alignment vertical="top"/>
    </xf>
    <xf numFmtId="0" fontId="36" fillId="17" borderId="14" xfId="0" applyFont="1" applyFill="1" applyBorder="1" applyAlignment="1" applyProtection="1">
      <alignment horizontal="center" vertical="center"/>
      <protection hidden="1"/>
    </xf>
    <xf numFmtId="0" fontId="0" fillId="0" borderId="0" xfId="0"/>
    <xf numFmtId="0" fontId="26" fillId="18" borderId="0" xfId="0" applyFont="1" applyFill="1" applyAlignment="1" applyProtection="1">
      <alignment vertical="top" wrapText="1" shrinkToFit="1"/>
      <protection hidden="1"/>
    </xf>
    <xf numFmtId="3" fontId="28" fillId="18" borderId="0" xfId="0" applyNumberFormat="1" applyFont="1" applyFill="1" applyBorder="1" applyAlignment="1" applyProtection="1">
      <alignment horizontal="right"/>
      <protection hidden="1"/>
    </xf>
    <xf numFmtId="0" fontId="36" fillId="18" borderId="0" xfId="0" applyFont="1" applyFill="1" applyBorder="1" applyAlignment="1" applyProtection="1">
      <alignment vertical="center"/>
      <protection hidden="1"/>
    </xf>
    <xf numFmtId="0" fontId="26" fillId="18" borderId="0" xfId="0" applyFont="1" applyFill="1" applyProtection="1">
      <protection hidden="1"/>
    </xf>
    <xf numFmtId="0" fontId="26" fillId="18" borderId="0" xfId="0" applyFont="1" applyFill="1" applyBorder="1" applyProtection="1">
      <protection hidden="1"/>
    </xf>
    <xf numFmtId="0" fontId="28" fillId="18" borderId="0" xfId="0" applyFont="1" applyFill="1" applyProtection="1">
      <protection hidden="1"/>
    </xf>
    <xf numFmtId="0" fontId="43" fillId="18" borderId="0" xfId="0" applyFont="1" applyFill="1" applyProtection="1">
      <protection hidden="1"/>
    </xf>
    <xf numFmtId="0" fontId="26" fillId="18" borderId="0" xfId="0" applyFont="1" applyFill="1" applyAlignment="1" applyProtection="1">
      <alignment horizontal="center" vertical="top"/>
      <protection hidden="1"/>
    </xf>
    <xf numFmtId="0" fontId="43" fillId="18" borderId="0" xfId="0" applyFont="1" applyFill="1" applyAlignment="1" applyProtection="1">
      <alignment horizontal="center" vertical="top" wrapText="1" shrinkToFit="1"/>
      <protection hidden="1"/>
    </xf>
    <xf numFmtId="0" fontId="26" fillId="18" borderId="0" xfId="0" applyFont="1" applyFill="1" applyAlignment="1" applyProtection="1">
      <alignment horizontal="center" vertical="top" wrapText="1" shrinkToFit="1"/>
      <protection hidden="1"/>
    </xf>
    <xf numFmtId="0" fontId="57" fillId="18" borderId="0" xfId="0" applyFont="1" applyFill="1" applyAlignment="1" applyProtection="1">
      <alignment horizontal="center" vertical="top" wrapText="1" shrinkToFit="1"/>
      <protection hidden="1"/>
    </xf>
    <xf numFmtId="0" fontId="26" fillId="18" borderId="0" xfId="0" applyFont="1" applyFill="1" applyAlignment="1" applyProtection="1">
      <alignment horizontal="center" vertical="top" wrapText="1" shrinkToFit="1"/>
    </xf>
    <xf numFmtId="0" fontId="36" fillId="18" borderId="10" xfId="0" applyFont="1" applyFill="1" applyBorder="1" applyAlignment="1" applyProtection="1">
      <alignment horizontal="center" vertical="center"/>
      <protection hidden="1"/>
    </xf>
    <xf numFmtId="0" fontId="25" fillId="18" borderId="0" xfId="0" applyFont="1" applyFill="1" applyAlignment="1" applyProtection="1">
      <alignment horizontal="center" vertical="top" wrapText="1" shrinkToFit="1"/>
      <protection hidden="1"/>
    </xf>
    <xf numFmtId="3" fontId="65" fillId="18" borderId="0" xfId="0" applyNumberFormat="1" applyFont="1" applyFill="1" applyBorder="1" applyAlignment="1" applyProtection="1">
      <alignment horizontal="right"/>
      <protection hidden="1"/>
    </xf>
    <xf numFmtId="0" fontId="65" fillId="18" borderId="0" xfId="0" applyFont="1" applyFill="1" applyProtection="1">
      <protection hidden="1"/>
    </xf>
    <xf numFmtId="0" fontId="66" fillId="18" borderId="0" xfId="0" applyFont="1" applyFill="1" applyProtection="1">
      <protection hidden="1"/>
    </xf>
    <xf numFmtId="0" fontId="64" fillId="18" borderId="0" xfId="0" applyFont="1" applyFill="1" applyProtection="1">
      <protection hidden="1"/>
    </xf>
    <xf numFmtId="0" fontId="44" fillId="18" borderId="0" xfId="0" applyFont="1" applyFill="1" applyProtection="1">
      <protection hidden="1"/>
    </xf>
    <xf numFmtId="0" fontId="44" fillId="18" borderId="0" xfId="0" applyFont="1" applyFill="1" applyAlignment="1" applyProtection="1">
      <alignment horizontal="center" vertical="top" wrapText="1" shrinkToFit="1"/>
      <protection hidden="1"/>
    </xf>
    <xf numFmtId="0" fontId="36" fillId="18" borderId="0" xfId="0" applyFont="1" applyFill="1" applyBorder="1" applyAlignment="1" applyProtection="1">
      <alignment horizontal="center" vertical="center"/>
      <protection hidden="1"/>
    </xf>
    <xf numFmtId="0" fontId="26" fillId="18" borderId="0" xfId="0" applyFont="1" applyFill="1" applyBorder="1" applyAlignment="1" applyProtection="1">
      <alignment horizontal="center" vertical="top" wrapText="1" shrinkToFit="1"/>
      <protection hidden="1"/>
    </xf>
    <xf numFmtId="3" fontId="36" fillId="18" borderId="35" xfId="0" applyNumberFormat="1" applyFont="1" applyFill="1" applyBorder="1" applyAlignment="1" applyProtection="1">
      <alignment horizontal="right" wrapText="1"/>
      <protection hidden="1"/>
    </xf>
    <xf numFmtId="0" fontId="27" fillId="18" borderId="0" xfId="0" applyFont="1" applyFill="1" applyProtection="1">
      <protection hidden="1"/>
    </xf>
    <xf numFmtId="3" fontId="32" fillId="18" borderId="0" xfId="0" applyNumberFormat="1" applyFont="1" applyFill="1" applyBorder="1" applyAlignment="1" applyProtection="1">
      <alignment horizontal="right"/>
      <protection hidden="1"/>
    </xf>
    <xf numFmtId="0" fontId="26" fillId="18" borderId="0" xfId="0" applyFont="1" applyFill="1" applyAlignment="1" applyProtection="1">
      <protection hidden="1"/>
    </xf>
    <xf numFmtId="0" fontId="65" fillId="18" borderId="0" xfId="0" applyFont="1" applyFill="1" applyAlignment="1" applyProtection="1">
      <protection hidden="1"/>
    </xf>
    <xf numFmtId="0" fontId="72" fillId="18" borderId="0" xfId="0" applyFont="1" applyFill="1" applyAlignment="1" applyProtection="1">
      <protection hidden="1"/>
    </xf>
    <xf numFmtId="0" fontId="26" fillId="18" borderId="0" xfId="0" applyFont="1" applyFill="1" applyAlignment="1" applyProtection="1">
      <alignment horizontal="center" vertical="center"/>
      <protection hidden="1"/>
    </xf>
    <xf numFmtId="0" fontId="43" fillId="18" borderId="0" xfId="0" applyFont="1" applyFill="1" applyAlignment="1" applyProtection="1">
      <alignment vertical="center"/>
      <protection hidden="1"/>
    </xf>
    <xf numFmtId="0" fontId="48" fillId="18" borderId="0" xfId="0" applyFont="1" applyFill="1" applyBorder="1" applyProtection="1">
      <protection hidden="1"/>
    </xf>
    <xf numFmtId="0" fontId="48" fillId="18" borderId="0" xfId="0" applyFont="1" applyFill="1" applyBorder="1" applyAlignment="1" applyProtection="1">
      <alignment horizontal="center"/>
      <protection hidden="1"/>
    </xf>
    <xf numFmtId="0" fontId="54" fillId="18" borderId="0" xfId="0" applyFont="1" applyFill="1" applyBorder="1" applyAlignment="1" applyProtection="1">
      <protection hidden="1"/>
    </xf>
    <xf numFmtId="0" fontId="31" fillId="18" borderId="0" xfId="0" applyFont="1" applyFill="1" applyBorder="1" applyProtection="1">
      <protection hidden="1"/>
    </xf>
    <xf numFmtId="0" fontId="50" fillId="18" borderId="0" xfId="0" applyFont="1" applyFill="1" applyAlignment="1" applyProtection="1">
      <alignment horizontal="center"/>
      <protection hidden="1"/>
    </xf>
    <xf numFmtId="0" fontId="43" fillId="18" borderId="0" xfId="0" applyFont="1" applyFill="1" applyAlignment="1" applyProtection="1">
      <alignment horizontal="center"/>
      <protection hidden="1"/>
    </xf>
    <xf numFmtId="0" fontId="36" fillId="18" borderId="0" xfId="0" applyFont="1" applyFill="1" applyBorder="1" applyAlignment="1" applyProtection="1">
      <alignment horizontal="left" vertical="center"/>
      <protection hidden="1"/>
    </xf>
    <xf numFmtId="0" fontId="70" fillId="18" borderId="0" xfId="0" applyFont="1" applyFill="1" applyBorder="1" applyProtection="1">
      <protection hidden="1"/>
    </xf>
    <xf numFmtId="0" fontId="60" fillId="18" borderId="0" xfId="0" applyFont="1" applyFill="1" applyBorder="1" applyProtection="1">
      <protection hidden="1"/>
    </xf>
    <xf numFmtId="0" fontId="64" fillId="18" borderId="0" xfId="0" applyFont="1" applyFill="1" applyBorder="1" applyProtection="1">
      <protection hidden="1"/>
    </xf>
    <xf numFmtId="0" fontId="26" fillId="0" borderId="12" xfId="0" applyFont="1" applyFill="1" applyBorder="1" applyAlignment="1" applyProtection="1">
      <alignment horizontal="center"/>
      <protection hidden="1"/>
    </xf>
    <xf numFmtId="0" fontId="26" fillId="17" borderId="12" xfId="0" applyFont="1" applyFill="1" applyBorder="1" applyProtection="1">
      <protection hidden="1"/>
    </xf>
    <xf numFmtId="37" fontId="26" fillId="17" borderId="86" xfId="0" applyNumberFormat="1" applyFont="1" applyFill="1" applyBorder="1" applyAlignment="1" applyProtection="1">
      <protection hidden="1"/>
    </xf>
    <xf numFmtId="37" fontId="55" fillId="17" borderId="86" xfId="0" applyNumberFormat="1" applyFont="1" applyFill="1" applyBorder="1" applyAlignment="1" applyProtection="1">
      <protection hidden="1"/>
    </xf>
    <xf numFmtId="37" fontId="52" fillId="17" borderId="86" xfId="0" applyNumberFormat="1" applyFont="1" applyFill="1" applyBorder="1" applyAlignment="1" applyProtection="1">
      <protection hidden="1"/>
    </xf>
    <xf numFmtId="37" fontId="26" fillId="14" borderId="86" xfId="0" applyNumberFormat="1" applyFont="1" applyFill="1" applyBorder="1" applyAlignment="1" applyProtection="1">
      <protection hidden="1"/>
    </xf>
    <xf numFmtId="0" fontId="0" fillId="0" borderId="0" xfId="0"/>
    <xf numFmtId="0" fontId="74" fillId="17" borderId="0" xfId="0" applyFont="1" applyFill="1"/>
    <xf numFmtId="0" fontId="0" fillId="17" borderId="0" xfId="0" applyFill="1"/>
    <xf numFmtId="0" fontId="0" fillId="0" borderId="0" xfId="0"/>
    <xf numFmtId="0" fontId="0" fillId="16" borderId="122" xfId="0" applyFill="1" applyBorder="1" applyAlignment="1">
      <alignment horizontal="justify" vertical="top"/>
    </xf>
    <xf numFmtId="0" fontId="0" fillId="16" borderId="0" xfId="0" applyFill="1" applyBorder="1" applyAlignment="1">
      <alignment horizontal="justify" vertical="top"/>
    </xf>
    <xf numFmtId="0" fontId="0" fillId="0" borderId="0" xfId="0" applyAlignment="1"/>
    <xf numFmtId="3" fontId="61" fillId="0" borderId="0" xfId="0" applyNumberFormat="1" applyFont="1"/>
    <xf numFmtId="0" fontId="0" fillId="0" borderId="0" xfId="0"/>
    <xf numFmtId="0" fontId="0" fillId="0" borderId="0" xfId="0" applyAlignment="1"/>
    <xf numFmtId="0" fontId="0" fillId="0" borderId="0" xfId="0" applyAlignment="1">
      <alignment vertical="top"/>
    </xf>
    <xf numFmtId="0" fontId="0" fillId="0" borderId="0" xfId="0" applyBorder="1" applyAlignment="1">
      <alignment vertical="top"/>
    </xf>
    <xf numFmtId="3" fontId="0" fillId="0" borderId="0" xfId="0" applyNumberFormat="1" applyAlignment="1">
      <alignment vertical="top" wrapText="1"/>
    </xf>
    <xf numFmtId="3" fontId="0" fillId="0" borderId="0" xfId="0" applyNumberFormat="1" applyAlignment="1">
      <alignment vertical="top"/>
    </xf>
    <xf numFmtId="0" fontId="0" fillId="17" borderId="84" xfId="0" applyFill="1" applyBorder="1" applyProtection="1">
      <protection hidden="1"/>
    </xf>
    <xf numFmtId="0" fontId="0" fillId="0" borderId="0" xfId="0"/>
    <xf numFmtId="0" fontId="0" fillId="0" borderId="0" xfId="0" applyAlignment="1"/>
    <xf numFmtId="0" fontId="76" fillId="17" borderId="0" xfId="0" applyFont="1" applyFill="1" applyProtection="1">
      <protection hidden="1"/>
    </xf>
    <xf numFmtId="0" fontId="78" fillId="17" borderId="58" xfId="0" applyFont="1" applyFill="1" applyBorder="1" applyProtection="1">
      <protection hidden="1"/>
    </xf>
    <xf numFmtId="0" fontId="76" fillId="17" borderId="59" xfId="0" applyFont="1" applyFill="1" applyBorder="1" applyProtection="1">
      <protection hidden="1"/>
    </xf>
    <xf numFmtId="0" fontId="78" fillId="17" borderId="59" xfId="0" applyFont="1" applyFill="1" applyBorder="1" applyProtection="1">
      <protection hidden="1"/>
    </xf>
    <xf numFmtId="0" fontId="43" fillId="17" borderId="146" xfId="0" applyFont="1" applyFill="1" applyBorder="1" applyAlignment="1" applyProtection="1">
      <alignment horizontal="left"/>
      <protection hidden="1"/>
    </xf>
    <xf numFmtId="0" fontId="68" fillId="18" borderId="3" xfId="0" applyFont="1" applyFill="1" applyBorder="1" applyAlignment="1" applyProtection="1">
      <alignment horizontal="center" vertical="center"/>
      <protection hidden="1"/>
    </xf>
    <xf numFmtId="0" fontId="27" fillId="18" borderId="10" xfId="0" applyFont="1" applyFill="1" applyBorder="1" applyAlignment="1" applyProtection="1">
      <protection hidden="1"/>
    </xf>
    <xf numFmtId="0" fontId="27" fillId="18" borderId="12" xfId="0" applyFont="1" applyFill="1" applyBorder="1" applyAlignment="1" applyProtection="1">
      <protection hidden="1"/>
    </xf>
    <xf numFmtId="0" fontId="27" fillId="18" borderId="11" xfId="0" applyFont="1" applyFill="1" applyBorder="1" applyAlignment="1" applyProtection="1">
      <protection hidden="1"/>
    </xf>
    <xf numFmtId="0" fontId="26" fillId="0" borderId="25" xfId="0" applyFont="1" applyFill="1" applyBorder="1" applyProtection="1">
      <protection hidden="1"/>
    </xf>
    <xf numFmtId="0" fontId="0" fillId="0" borderId="0" xfId="0"/>
    <xf numFmtId="0" fontId="0" fillId="0" borderId="0" xfId="0" applyAlignment="1"/>
    <xf numFmtId="0" fontId="64" fillId="18" borderId="0" xfId="0" applyFont="1" applyFill="1" applyAlignment="1" applyProtection="1">
      <alignment horizontal="center"/>
      <protection hidden="1"/>
    </xf>
    <xf numFmtId="0" fontId="27" fillId="17" borderId="2" xfId="0" applyFont="1" applyFill="1" applyBorder="1" applyProtection="1">
      <protection hidden="1"/>
    </xf>
    <xf numFmtId="0" fontId="28" fillId="17" borderId="2" xfId="0" applyFont="1" applyFill="1" applyBorder="1" applyProtection="1">
      <protection hidden="1"/>
    </xf>
    <xf numFmtId="0" fontId="26" fillId="17" borderId="2" xfId="0" applyFont="1" applyFill="1" applyBorder="1" applyProtection="1">
      <protection hidden="1"/>
    </xf>
    <xf numFmtId="0" fontId="25" fillId="18" borderId="0" xfId="0" applyFont="1" applyFill="1" applyAlignment="1" applyProtection="1">
      <alignment horizontal="center" vertical="top" wrapText="1" shrinkToFit="1"/>
      <protection hidden="1"/>
    </xf>
    <xf numFmtId="0" fontId="44" fillId="18" borderId="0" xfId="0" applyFont="1" applyFill="1" applyAlignment="1" applyProtection="1">
      <alignment horizontal="center"/>
      <protection hidden="1"/>
    </xf>
    <xf numFmtId="0" fontId="25" fillId="18" borderId="0" xfId="0" applyFont="1" applyFill="1" applyAlignment="1" applyProtection="1">
      <alignment horizontal="center" vertical="top" wrapText="1" shrinkToFit="1"/>
      <protection hidden="1"/>
    </xf>
    <xf numFmtId="0" fontId="66" fillId="18" borderId="5" xfId="0" applyFont="1" applyFill="1" applyBorder="1" applyProtection="1">
      <protection hidden="1"/>
    </xf>
    <xf numFmtId="0" fontId="26" fillId="18" borderId="5" xfId="0" applyFont="1" applyFill="1" applyBorder="1" applyProtection="1">
      <protection hidden="1"/>
    </xf>
    <xf numFmtId="0" fontId="65" fillId="18" borderId="8" xfId="0" applyFont="1" applyFill="1" applyBorder="1" applyProtection="1">
      <protection hidden="1"/>
    </xf>
    <xf numFmtId="0" fontId="43" fillId="18" borderId="8" xfId="0" applyFont="1" applyFill="1" applyBorder="1" applyProtection="1">
      <protection hidden="1"/>
    </xf>
    <xf numFmtId="0" fontId="25" fillId="18" borderId="0" xfId="0" applyFont="1" applyFill="1" applyAlignment="1" applyProtection="1">
      <alignment horizontal="center" vertical="top"/>
      <protection hidden="1"/>
    </xf>
    <xf numFmtId="0" fontId="28" fillId="18" borderId="0" xfId="0" applyFont="1" applyFill="1" applyAlignment="1" applyProtection="1">
      <protection hidden="1"/>
    </xf>
    <xf numFmtId="0" fontId="26" fillId="17" borderId="0" xfId="0" quotePrefix="1" applyFont="1" applyFill="1" applyAlignment="1" applyProtection="1">
      <alignment vertical="center"/>
    </xf>
    <xf numFmtId="0" fontId="0" fillId="0" borderId="0" xfId="0" applyAlignment="1">
      <alignment horizontal="center"/>
    </xf>
    <xf numFmtId="15" fontId="0" fillId="0" borderId="0" xfId="0" applyNumberFormat="1"/>
    <xf numFmtId="0" fontId="0" fillId="0" borderId="0" xfId="0"/>
    <xf numFmtId="0" fontId="0" fillId="17" borderId="0" xfId="0" applyNumberFormat="1" applyFill="1" applyBorder="1"/>
    <xf numFmtId="0" fontId="0" fillId="17" borderId="0" xfId="0" applyFill="1" applyBorder="1"/>
    <xf numFmtId="0" fontId="0" fillId="0" borderId="0" xfId="0"/>
    <xf numFmtId="0" fontId="0" fillId="0" borderId="0" xfId="0" applyAlignment="1"/>
    <xf numFmtId="0" fontId="0" fillId="17" borderId="0" xfId="0" applyFill="1"/>
    <xf numFmtId="0" fontId="85" fillId="17" borderId="0" xfId="0" applyNumberFormat="1" applyFont="1" applyFill="1" applyBorder="1" applyAlignment="1"/>
    <xf numFmtId="0" fontId="0" fillId="0" borderId="0" xfId="0" applyAlignment="1"/>
    <xf numFmtId="0" fontId="0" fillId="0" borderId="0" xfId="0"/>
    <xf numFmtId="0" fontId="0" fillId="0" borderId="0" xfId="0" applyAlignment="1"/>
    <xf numFmtId="0" fontId="0" fillId="0" borderId="0" xfId="0"/>
    <xf numFmtId="0" fontId="0" fillId="0" borderId="0" xfId="0" applyAlignment="1"/>
    <xf numFmtId="0" fontId="0" fillId="17" borderId="0" xfId="0" applyFill="1"/>
    <xf numFmtId="0" fontId="0" fillId="0" borderId="0" xfId="0"/>
    <xf numFmtId="0" fontId="0" fillId="17" borderId="0" xfId="0" applyFill="1"/>
    <xf numFmtId="0" fontId="0" fillId="21" borderId="0" xfId="0" applyFill="1" applyAlignment="1"/>
    <xf numFmtId="0" fontId="0" fillId="21" borderId="0" xfId="0" applyFill="1"/>
    <xf numFmtId="0" fontId="0" fillId="21" borderId="0" xfId="0" applyNumberFormat="1" applyFill="1" applyAlignment="1" applyProtection="1">
      <alignment vertical="top" wrapText="1"/>
      <protection locked="0"/>
    </xf>
    <xf numFmtId="0" fontId="0" fillId="21" borderId="0" xfId="0" applyNumberFormat="1" applyFill="1" applyBorder="1" applyAlignment="1" applyProtection="1">
      <alignment vertical="top" wrapText="1"/>
      <protection locked="0"/>
    </xf>
    <xf numFmtId="0" fontId="0" fillId="9" borderId="0" xfId="0" applyFill="1" applyAlignment="1"/>
    <xf numFmtId="0" fontId="0" fillId="9" borderId="0" xfId="0" applyFill="1"/>
    <xf numFmtId="0" fontId="0" fillId="9" borderId="0" xfId="0" applyNumberFormat="1" applyFill="1" applyBorder="1" applyAlignment="1" applyProtection="1">
      <alignment vertical="top" wrapText="1"/>
      <protection locked="0"/>
    </xf>
    <xf numFmtId="0" fontId="18" fillId="9" borderId="0" xfId="0" applyFont="1" applyFill="1" applyAlignment="1">
      <alignment vertical="center"/>
    </xf>
    <xf numFmtId="0" fontId="26" fillId="17" borderId="0" xfId="0" applyFont="1" applyFill="1" applyAlignment="1" applyProtection="1">
      <alignment vertical="center"/>
    </xf>
    <xf numFmtId="0" fontId="13" fillId="5" borderId="82" xfId="0" applyFont="1" applyFill="1" applyBorder="1" applyAlignment="1" applyProtection="1">
      <alignment vertical="center"/>
    </xf>
    <xf numFmtId="0" fontId="14" fillId="5" borderId="82" xfId="0" applyFont="1" applyFill="1" applyBorder="1" applyAlignment="1" applyProtection="1">
      <alignment vertical="center"/>
    </xf>
    <xf numFmtId="0" fontId="14" fillId="5" borderId="82" xfId="0" applyFont="1" applyFill="1" applyBorder="1" applyAlignment="1" applyProtection="1">
      <alignment horizontal="center" vertical="center"/>
    </xf>
    <xf numFmtId="0" fontId="14" fillId="5" borderId="60" xfId="0" applyFont="1" applyFill="1" applyBorder="1" applyAlignment="1" applyProtection="1">
      <alignment vertical="center"/>
    </xf>
    <xf numFmtId="0" fontId="14" fillId="5" borderId="12" xfId="0" applyFont="1" applyFill="1" applyBorder="1" applyAlignment="1" applyProtection="1">
      <alignment horizontal="center" vertical="center"/>
    </xf>
    <xf numFmtId="0" fontId="13" fillId="5" borderId="12" xfId="0" applyFont="1" applyFill="1" applyBorder="1" applyAlignment="1" applyProtection="1">
      <alignment vertical="center"/>
    </xf>
    <xf numFmtId="0" fontId="14" fillId="5" borderId="12" xfId="0" applyFont="1" applyFill="1" applyBorder="1" applyAlignment="1" applyProtection="1">
      <alignment vertical="center"/>
    </xf>
    <xf numFmtId="0" fontId="14" fillId="5" borderId="67" xfId="0" applyFont="1" applyFill="1" applyBorder="1" applyAlignment="1" applyProtection="1">
      <alignment vertical="center"/>
    </xf>
    <xf numFmtId="0" fontId="23" fillId="0" borderId="0" xfId="0" applyFont="1"/>
    <xf numFmtId="0" fontId="0" fillId="17" borderId="115" xfId="0" applyFill="1" applyBorder="1" applyProtection="1">
      <protection hidden="1"/>
    </xf>
    <xf numFmtId="0" fontId="0" fillId="17" borderId="116" xfId="0" applyFill="1" applyBorder="1" applyProtection="1">
      <protection hidden="1"/>
    </xf>
    <xf numFmtId="0" fontId="0" fillId="17" borderId="117" xfId="0" applyFill="1" applyBorder="1" applyProtection="1">
      <protection hidden="1"/>
    </xf>
    <xf numFmtId="0" fontId="67" fillId="18" borderId="0" xfId="0" applyFont="1" applyFill="1" applyAlignment="1" applyProtection="1">
      <alignment horizontal="center"/>
      <protection hidden="1"/>
    </xf>
    <xf numFmtId="0" fontId="26" fillId="17" borderId="0" xfId="0" applyFont="1" applyFill="1" applyAlignment="1" applyProtection="1">
      <alignment horizontal="right" vertical="center"/>
    </xf>
    <xf numFmtId="0" fontId="26" fillId="17" borderId="0" xfId="0" applyFont="1" applyFill="1" applyAlignment="1" applyProtection="1">
      <alignment vertical="center"/>
    </xf>
    <xf numFmtId="0" fontId="0" fillId="17" borderId="0" xfId="0" applyFill="1"/>
    <xf numFmtId="0" fontId="11" fillId="17" borderId="0" xfId="0" applyFont="1" applyFill="1" applyAlignment="1">
      <alignment horizontal="center" vertical="center"/>
    </xf>
    <xf numFmtId="0" fontId="0" fillId="0" borderId="0" xfId="0" applyAlignment="1">
      <alignment vertical="top"/>
    </xf>
    <xf numFmtId="0" fontId="26" fillId="17" borderId="0" xfId="0" applyFont="1" applyFill="1" applyAlignment="1" applyProtection="1">
      <alignment vertical="center"/>
    </xf>
    <xf numFmtId="0" fontId="26" fillId="17" borderId="0" xfId="0" applyFont="1" applyFill="1" applyBorder="1" applyProtection="1">
      <protection hidden="1"/>
    </xf>
    <xf numFmtId="4" fontId="26" fillId="17" borderId="49" xfId="0" applyNumberFormat="1" applyFont="1" applyFill="1" applyBorder="1" applyAlignment="1" applyProtection="1">
      <alignment horizontal="right"/>
      <protection hidden="1"/>
    </xf>
    <xf numFmtId="0" fontId="0" fillId="17" borderId="52" xfId="0" applyFill="1" applyBorder="1" applyProtection="1">
      <protection hidden="1"/>
    </xf>
    <xf numFmtId="4" fontId="26" fillId="17" borderId="50" xfId="0" applyNumberFormat="1" applyFont="1" applyFill="1" applyBorder="1" applyAlignment="1" applyProtection="1">
      <alignment horizontal="right"/>
      <protection hidden="1"/>
    </xf>
    <xf numFmtId="0" fontId="26" fillId="13" borderId="0" xfId="0" applyFont="1" applyFill="1" applyBorder="1" applyProtection="1">
      <protection hidden="1"/>
    </xf>
    <xf numFmtId="0" fontId="0" fillId="17" borderId="0" xfId="0" applyFill="1"/>
    <xf numFmtId="0" fontId="0" fillId="0" borderId="0" xfId="0" applyAlignment="1"/>
    <xf numFmtId="0" fontId="0" fillId="0" borderId="0" xfId="0"/>
    <xf numFmtId="0" fontId="8" fillId="24" borderId="163" xfId="0" applyFont="1" applyFill="1" applyBorder="1" applyAlignment="1">
      <alignment horizontal="left" vertical="top" wrapText="1"/>
    </xf>
    <xf numFmtId="0" fontId="8" fillId="24" borderId="164" xfId="0" applyFont="1" applyFill="1" applyBorder="1" applyAlignment="1">
      <alignment horizontal="left" vertical="top" wrapText="1"/>
    </xf>
    <xf numFmtId="0" fontId="8" fillId="24" borderId="165" xfId="0" applyFont="1" applyFill="1" applyBorder="1" applyAlignment="1">
      <alignment horizontal="left" vertical="top" wrapText="1"/>
    </xf>
    <xf numFmtId="49" fontId="8" fillId="24" borderId="165" xfId="0" applyNumberFormat="1" applyFont="1" applyFill="1" applyBorder="1" applyAlignment="1">
      <alignment horizontal="center" vertical="top" wrapText="1"/>
    </xf>
    <xf numFmtId="49" fontId="8" fillId="24" borderId="163" xfId="0" applyNumberFormat="1" applyFont="1" applyFill="1" applyBorder="1" applyAlignment="1">
      <alignment horizontal="center" vertical="top" wrapText="1"/>
    </xf>
    <xf numFmtId="49" fontId="8" fillId="24" borderId="164" xfId="0" applyNumberFormat="1" applyFont="1" applyFill="1" applyBorder="1" applyAlignment="1">
      <alignment horizontal="center" vertical="top" wrapText="1"/>
    </xf>
    <xf numFmtId="49" fontId="8" fillId="24" borderId="3" xfId="0" applyNumberFormat="1" applyFont="1" applyFill="1" applyBorder="1" applyAlignment="1">
      <alignment horizontal="center" vertical="top" wrapText="1"/>
    </xf>
    <xf numFmtId="0" fontId="8" fillId="24" borderId="3" xfId="0" applyFont="1" applyFill="1" applyBorder="1" applyAlignment="1">
      <alignment vertical="top" wrapText="1"/>
    </xf>
    <xf numFmtId="49" fontId="8" fillId="25" borderId="3" xfId="0" applyNumberFormat="1" applyFont="1" applyFill="1" applyBorder="1" applyAlignment="1">
      <alignment horizontal="center" vertical="top" wrapText="1"/>
    </xf>
    <xf numFmtId="0" fontId="8" fillId="25" borderId="3" xfId="0" applyFont="1" applyFill="1" applyBorder="1" applyAlignment="1">
      <alignment vertical="top" wrapText="1"/>
    </xf>
    <xf numFmtId="49" fontId="91" fillId="24" borderId="3" xfId="0" applyNumberFormat="1" applyFont="1" applyFill="1" applyBorder="1" applyAlignment="1">
      <alignment horizontal="center" vertical="top" wrapText="1"/>
    </xf>
    <xf numFmtId="49" fontId="91" fillId="25" borderId="3" xfId="0" applyNumberFormat="1" applyFont="1" applyFill="1" applyBorder="1" applyAlignment="1">
      <alignment horizontal="center" vertical="top" wrapText="1"/>
    </xf>
    <xf numFmtId="0" fontId="23" fillId="17" borderId="3" xfId="0" applyFont="1" applyFill="1" applyBorder="1" applyAlignment="1">
      <alignment vertical="center"/>
    </xf>
    <xf numFmtId="0" fontId="92" fillId="17" borderId="0" xfId="0" applyFont="1" applyFill="1" applyProtection="1"/>
    <xf numFmtId="49" fontId="93" fillId="24" borderId="165" xfId="0" applyNumberFormat="1" applyFont="1" applyFill="1" applyBorder="1" applyAlignment="1">
      <alignment horizontal="left" vertical="top" wrapText="1"/>
    </xf>
    <xf numFmtId="49" fontId="93" fillId="24" borderId="163" xfId="0" applyNumberFormat="1" applyFont="1" applyFill="1" applyBorder="1" applyAlignment="1">
      <alignment horizontal="left" vertical="top" wrapText="1"/>
    </xf>
    <xf numFmtId="49" fontId="93" fillId="24" borderId="164" xfId="0" applyNumberFormat="1" applyFont="1" applyFill="1" applyBorder="1" applyAlignment="1">
      <alignment horizontal="left" vertical="top" wrapText="1"/>
    </xf>
    <xf numFmtId="0" fontId="92" fillId="17" borderId="3" xfId="0" quotePrefix="1" applyFont="1" applyFill="1" applyBorder="1" applyAlignment="1" applyProtection="1">
      <alignment vertical="center"/>
    </xf>
    <xf numFmtId="0" fontId="92" fillId="17" borderId="0" xfId="0" applyFont="1" applyFill="1" applyAlignment="1" applyProtection="1">
      <alignment vertical="center"/>
    </xf>
    <xf numFmtId="49" fontId="8" fillId="24" borderId="0" xfId="0" applyNumberFormat="1" applyFont="1" applyFill="1" applyBorder="1" applyAlignment="1">
      <alignment horizontal="center" vertical="top" wrapText="1"/>
    </xf>
    <xf numFmtId="0" fontId="8" fillId="24" borderId="0" xfId="0" applyFont="1" applyFill="1" applyBorder="1" applyAlignment="1">
      <alignment vertical="top" wrapText="1"/>
    </xf>
    <xf numFmtId="49" fontId="8" fillId="24" borderId="166" xfId="0" applyNumberFormat="1" applyFont="1" applyFill="1" applyBorder="1" applyAlignment="1">
      <alignment horizontal="center" vertical="top" wrapText="1"/>
    </xf>
    <xf numFmtId="49" fontId="8" fillId="24" borderId="167" xfId="0" applyNumberFormat="1" applyFont="1" applyFill="1" applyBorder="1" applyAlignment="1">
      <alignment horizontal="center" vertical="top" wrapText="1"/>
    </xf>
    <xf numFmtId="49" fontId="8" fillId="24" borderId="167" xfId="0" quotePrefix="1" applyNumberFormat="1" applyFont="1" applyFill="1" applyBorder="1" applyAlignment="1">
      <alignment horizontal="center" vertical="top" wrapText="1"/>
    </xf>
    <xf numFmtId="49" fontId="8" fillId="25" borderId="167" xfId="0" applyNumberFormat="1" applyFont="1" applyFill="1" applyBorder="1" applyAlignment="1">
      <alignment horizontal="center" vertical="top" wrapText="1"/>
    </xf>
    <xf numFmtId="49" fontId="8" fillId="19" borderId="167" xfId="0" applyNumberFormat="1" applyFont="1" applyFill="1" applyBorder="1" applyAlignment="1">
      <alignment horizontal="center" vertical="top" wrapText="1"/>
    </xf>
    <xf numFmtId="49" fontId="8" fillId="24" borderId="168" xfId="0" applyNumberFormat="1" applyFont="1" applyFill="1" applyBorder="1" applyAlignment="1">
      <alignment horizontal="center" vertical="top" wrapText="1"/>
    </xf>
    <xf numFmtId="0" fontId="27" fillId="17" borderId="3" xfId="0" applyFont="1" applyFill="1" applyBorder="1" applyAlignment="1" applyProtection="1">
      <alignment horizontal="center"/>
    </xf>
    <xf numFmtId="0" fontId="37" fillId="17" borderId="59" xfId="0" applyFont="1" applyFill="1" applyBorder="1" applyAlignment="1" applyProtection="1">
      <alignment vertical="center"/>
      <protection hidden="1"/>
    </xf>
    <xf numFmtId="0" fontId="30" fillId="17" borderId="59" xfId="0" applyFont="1" applyFill="1" applyBorder="1" applyAlignment="1" applyProtection="1">
      <alignment horizontal="left"/>
      <protection hidden="1"/>
    </xf>
    <xf numFmtId="3" fontId="37" fillId="17" borderId="59" xfId="0" applyNumberFormat="1" applyFont="1" applyFill="1" applyBorder="1" applyAlignment="1" applyProtection="1">
      <alignment horizontal="right"/>
      <protection hidden="1"/>
    </xf>
    <xf numFmtId="3" fontId="26" fillId="18" borderId="0" xfId="0" applyNumberFormat="1" applyFont="1" applyFill="1" applyBorder="1" applyProtection="1">
      <protection hidden="1"/>
    </xf>
    <xf numFmtId="3" fontId="36" fillId="17" borderId="59" xfId="0" applyNumberFormat="1" applyFont="1" applyFill="1" applyBorder="1" applyAlignment="1" applyProtection="1">
      <alignment horizontal="right" wrapText="1"/>
      <protection hidden="1"/>
    </xf>
    <xf numFmtId="49" fontId="93" fillId="24" borderId="14" xfId="0" applyNumberFormat="1" applyFont="1" applyFill="1" applyBorder="1" applyAlignment="1">
      <alignment horizontal="center" vertical="top" wrapText="1"/>
    </xf>
    <xf numFmtId="49" fontId="93" fillId="25" borderId="14" xfId="0" applyNumberFormat="1" applyFont="1" applyFill="1" applyBorder="1" applyAlignment="1">
      <alignment horizontal="center" vertical="top" wrapText="1"/>
    </xf>
    <xf numFmtId="49" fontId="91" fillId="24" borderId="3" xfId="0" quotePrefix="1" applyNumberFormat="1" applyFont="1" applyFill="1" applyBorder="1" applyAlignment="1">
      <alignment horizontal="center" vertical="top" wrapText="1"/>
    </xf>
    <xf numFmtId="49" fontId="91" fillId="19" borderId="3" xfId="0" applyNumberFormat="1" applyFont="1" applyFill="1" applyBorder="1" applyAlignment="1">
      <alignment horizontal="center" vertical="top" wrapText="1"/>
    </xf>
    <xf numFmtId="0" fontId="0" fillId="0" borderId="3" xfId="0" applyBorder="1" applyAlignment="1" applyProtection="1">
      <alignment horizontal="center"/>
      <protection hidden="1"/>
    </xf>
    <xf numFmtId="0" fontId="0" fillId="0" borderId="3" xfId="0" quotePrefix="1" applyBorder="1" applyAlignment="1" applyProtection="1">
      <alignment horizontal="center"/>
      <protection hidden="1"/>
    </xf>
    <xf numFmtId="0" fontId="17" fillId="0" borderId="86" xfId="0" applyFont="1" applyFill="1" applyBorder="1" applyAlignment="1">
      <alignment horizontal="center" vertical="top"/>
    </xf>
    <xf numFmtId="0" fontId="96" fillId="18" borderId="86" xfId="0" applyFont="1" applyFill="1" applyBorder="1" applyAlignment="1">
      <alignment horizontal="center" vertical="top"/>
    </xf>
    <xf numFmtId="0" fontId="96" fillId="28" borderId="86" xfId="0" applyFont="1" applyFill="1" applyBorder="1" applyAlignment="1">
      <alignment horizontal="center" vertical="top"/>
    </xf>
    <xf numFmtId="0" fontId="30" fillId="29" borderId="86" xfId="0" applyFont="1" applyFill="1" applyBorder="1" applyAlignment="1">
      <alignment horizontal="center" vertical="top"/>
    </xf>
    <xf numFmtId="0" fontId="17" fillId="9" borderId="86" xfId="0" applyFont="1" applyFill="1" applyBorder="1" applyAlignment="1">
      <alignment horizontal="center" vertical="top"/>
    </xf>
    <xf numFmtId="0" fontId="17" fillId="29" borderId="86" xfId="0" applyFont="1" applyFill="1" applyBorder="1" applyAlignment="1">
      <alignment horizontal="center" vertical="top"/>
    </xf>
    <xf numFmtId="0" fontId="30" fillId="0" borderId="86" xfId="0" applyFont="1" applyFill="1" applyBorder="1" applyAlignment="1">
      <alignment horizontal="center" vertical="top"/>
    </xf>
    <xf numFmtId="0" fontId="8" fillId="24" borderId="166" xfId="0" applyFont="1" applyFill="1" applyBorder="1" applyAlignment="1">
      <alignment horizontal="left" vertical="top" wrapText="1"/>
    </xf>
    <xf numFmtId="0" fontId="8" fillId="24" borderId="167" xfId="0" applyFont="1" applyFill="1" applyBorder="1" applyAlignment="1">
      <alignment horizontal="left" vertical="top" wrapText="1"/>
    </xf>
    <xf numFmtId="0" fontId="8" fillId="25" borderId="167" xfId="0" applyFont="1" applyFill="1" applyBorder="1" applyAlignment="1">
      <alignment horizontal="left" vertical="top" wrapText="1"/>
    </xf>
    <xf numFmtId="0" fontId="8" fillId="19" borderId="167" xfId="0" applyFont="1" applyFill="1" applyBorder="1" applyAlignment="1">
      <alignment horizontal="left" vertical="top" wrapText="1"/>
    </xf>
    <xf numFmtId="0" fontId="8" fillId="24" borderId="168" xfId="0" applyFont="1" applyFill="1" applyBorder="1" applyAlignment="1">
      <alignment horizontal="left" vertical="top" wrapText="1"/>
    </xf>
    <xf numFmtId="0" fontId="30" fillId="0" borderId="0" xfId="0" applyFont="1" applyAlignment="1" applyProtection="1">
      <alignment horizontal="center" vertical="top"/>
      <protection hidden="1"/>
    </xf>
    <xf numFmtId="0" fontId="0" fillId="0" borderId="0" xfId="0" applyAlignment="1" applyProtection="1">
      <alignment horizontal="center" vertical="top"/>
      <protection hidden="1"/>
    </xf>
    <xf numFmtId="0" fontId="0" fillId="0" borderId="0" xfId="0" applyAlignment="1" applyProtection="1">
      <alignment vertical="top"/>
      <protection hidden="1"/>
    </xf>
    <xf numFmtId="0" fontId="0" fillId="26" borderId="0" xfId="0" applyFill="1" applyAlignment="1" applyProtection="1">
      <alignment horizontal="center" vertical="top"/>
      <protection hidden="1"/>
    </xf>
    <xf numFmtId="0" fontId="9" fillId="0" borderId="3" xfId="0" applyFont="1" applyBorder="1" applyAlignment="1" applyProtection="1">
      <alignment horizontal="center" vertical="top"/>
      <protection hidden="1"/>
    </xf>
    <xf numFmtId="0" fontId="9" fillId="0" borderId="3" xfId="0" applyFont="1" applyBorder="1" applyAlignment="1" applyProtection="1">
      <alignment vertical="top"/>
      <protection hidden="1"/>
    </xf>
    <xf numFmtId="0" fontId="0" fillId="0" borderId="0" xfId="0" quotePrefix="1" applyAlignment="1" applyProtection="1">
      <alignment vertical="top"/>
      <protection hidden="1"/>
    </xf>
    <xf numFmtId="0" fontId="58" fillId="0" borderId="3" xfId="0" applyFont="1" applyBorder="1" applyAlignment="1" applyProtection="1">
      <alignment horizontal="center" vertical="top"/>
      <protection hidden="1"/>
    </xf>
    <xf numFmtId="0" fontId="58" fillId="0" borderId="3" xfId="0" applyFont="1" applyBorder="1" applyAlignment="1" applyProtection="1">
      <alignment vertical="top"/>
      <protection hidden="1"/>
    </xf>
    <xf numFmtId="0" fontId="58" fillId="0" borderId="0" xfId="0" applyFont="1" applyAlignment="1" applyProtection="1">
      <alignment horizontal="center" vertical="top"/>
      <protection hidden="1"/>
    </xf>
    <xf numFmtId="0" fontId="58" fillId="0" borderId="0" xfId="0" applyFont="1" applyAlignment="1" applyProtection="1">
      <alignment vertical="top"/>
      <protection hidden="1"/>
    </xf>
    <xf numFmtId="0" fontId="0" fillId="0" borderId="0" xfId="0" applyAlignment="1">
      <alignment horizontal="center" vertical="top"/>
    </xf>
    <xf numFmtId="0" fontId="58" fillId="0" borderId="0" xfId="0" applyFont="1" applyBorder="1" applyAlignment="1" applyProtection="1">
      <alignment vertical="top"/>
      <protection hidden="1"/>
    </xf>
    <xf numFmtId="0" fontId="0" fillId="26" borderId="0" xfId="0" applyFill="1" applyAlignment="1">
      <alignment horizontal="center" vertical="top"/>
    </xf>
    <xf numFmtId="0" fontId="0" fillId="26" borderId="0" xfId="0" applyFill="1" applyAlignment="1">
      <alignment horizontal="left" vertical="top"/>
    </xf>
    <xf numFmtId="0" fontId="0" fillId="0" borderId="0" xfId="0" applyAlignment="1">
      <alignment horizontal="left" vertical="top"/>
    </xf>
    <xf numFmtId="0" fontId="43" fillId="17" borderId="50" xfId="0" applyFont="1" applyFill="1" applyBorder="1" applyProtection="1">
      <protection hidden="1"/>
    </xf>
    <xf numFmtId="4" fontId="26" fillId="17" borderId="50" xfId="0" applyNumberFormat="1" applyFont="1" applyFill="1" applyBorder="1" applyAlignment="1" applyProtection="1">
      <alignment horizontal="right"/>
      <protection hidden="1"/>
    </xf>
    <xf numFmtId="0" fontId="0" fillId="17" borderId="52" xfId="0" applyFill="1" applyBorder="1" applyProtection="1">
      <protection hidden="1"/>
    </xf>
    <xf numFmtId="0" fontId="26" fillId="17" borderId="0" xfId="0" applyFont="1" applyFill="1" applyAlignment="1" applyProtection="1">
      <alignment vertical="center"/>
    </xf>
    <xf numFmtId="0" fontId="0" fillId="0" borderId="0" xfId="0" applyAlignment="1"/>
    <xf numFmtId="0" fontId="0" fillId="0" borderId="0" xfId="0"/>
    <xf numFmtId="0" fontId="0" fillId="0" borderId="0" xfId="0" applyAlignment="1">
      <alignment horizontal="justify" vertical="top" wrapText="1"/>
    </xf>
    <xf numFmtId="0" fontId="0" fillId="0" borderId="0" xfId="0" applyBorder="1" applyAlignment="1">
      <alignment vertical="top"/>
    </xf>
    <xf numFmtId="0" fontId="62" fillId="0" borderId="0" xfId="0" applyFont="1" applyAlignment="1">
      <alignment horizontal="left" vertical="top" wrapText="1"/>
    </xf>
    <xf numFmtId="0" fontId="43" fillId="17" borderId="0" xfId="0" applyFont="1" applyFill="1" applyBorder="1" applyProtection="1">
      <protection hidden="1"/>
    </xf>
    <xf numFmtId="3" fontId="23" fillId="0" borderId="0" xfId="0" applyNumberFormat="1" applyFont="1"/>
    <xf numFmtId="0" fontId="106" fillId="0" borderId="0" xfId="0" applyFont="1"/>
    <xf numFmtId="0" fontId="107" fillId="0" borderId="0" xfId="0" applyFont="1"/>
    <xf numFmtId="0" fontId="107" fillId="0" borderId="0" xfId="0" applyFont="1" applyAlignment="1"/>
    <xf numFmtId="0" fontId="23" fillId="0" borderId="0" xfId="0" applyFont="1" applyFill="1" applyAlignment="1">
      <alignment vertical="top" wrapText="1"/>
    </xf>
    <xf numFmtId="0" fontId="107" fillId="0" borderId="0" xfId="0" applyFont="1" applyAlignment="1">
      <alignment horizontal="left" vertical="top" wrapText="1"/>
    </xf>
    <xf numFmtId="0" fontId="23" fillId="0" borderId="0" xfId="0" applyFont="1" applyAlignment="1">
      <alignment vertical="top" wrapText="1"/>
    </xf>
    <xf numFmtId="0" fontId="23" fillId="0" borderId="0" xfId="0" applyFont="1" applyBorder="1" applyAlignment="1">
      <alignment horizontal="center" vertical="center" wrapText="1"/>
    </xf>
    <xf numFmtId="0" fontId="21" fillId="0" borderId="0" xfId="0" applyFont="1" applyAlignment="1">
      <alignment horizontal="left"/>
    </xf>
    <xf numFmtId="0" fontId="64" fillId="17" borderId="0" xfId="0" applyFont="1" applyFill="1" applyBorder="1" applyProtection="1">
      <protection hidden="1"/>
    </xf>
    <xf numFmtId="0" fontId="43" fillId="13" borderId="35" xfId="0" applyFont="1" applyFill="1" applyBorder="1" applyProtection="1">
      <protection hidden="1"/>
    </xf>
    <xf numFmtId="0" fontId="26" fillId="13" borderId="82" xfId="0" applyFont="1" applyFill="1" applyBorder="1" applyProtection="1">
      <protection hidden="1"/>
    </xf>
    <xf numFmtId="0" fontId="26" fillId="13" borderId="12" xfId="0" applyFont="1" applyFill="1" applyBorder="1" applyProtection="1">
      <protection hidden="1"/>
    </xf>
    <xf numFmtId="0" fontId="26" fillId="13" borderId="76" xfId="0" applyFont="1" applyFill="1" applyBorder="1" applyProtection="1">
      <protection hidden="1"/>
    </xf>
    <xf numFmtId="0" fontId="26" fillId="13" borderId="35" xfId="0" applyFont="1" applyFill="1" applyBorder="1" applyProtection="1">
      <protection hidden="1"/>
    </xf>
    <xf numFmtId="37" fontId="26" fillId="13" borderId="86" xfId="0" applyNumberFormat="1" applyFont="1" applyFill="1" applyBorder="1" applyAlignment="1" applyProtection="1">
      <protection hidden="1"/>
    </xf>
    <xf numFmtId="0" fontId="55" fillId="13" borderId="0" xfId="0" applyFont="1" applyFill="1" applyBorder="1" applyProtection="1">
      <protection hidden="1"/>
    </xf>
    <xf numFmtId="37" fontId="55" fillId="13" borderId="86" xfId="0" applyNumberFormat="1" applyFont="1" applyFill="1" applyBorder="1" applyAlignment="1" applyProtection="1">
      <protection hidden="1"/>
    </xf>
    <xf numFmtId="3" fontId="55" fillId="13" borderId="82" xfId="0" applyNumberFormat="1" applyFont="1" applyFill="1" applyBorder="1" applyAlignment="1" applyProtection="1">
      <alignment horizontal="right"/>
      <protection hidden="1"/>
    </xf>
    <xf numFmtId="3" fontId="55" fillId="13" borderId="0" xfId="0" applyNumberFormat="1" applyFont="1" applyFill="1" applyBorder="1" applyAlignment="1" applyProtection="1">
      <alignment horizontal="right"/>
      <protection hidden="1"/>
    </xf>
    <xf numFmtId="37" fontId="55" fillId="13" borderId="12" xfId="0" applyNumberFormat="1" applyFont="1" applyFill="1" applyBorder="1" applyAlignment="1" applyProtection="1">
      <protection hidden="1"/>
    </xf>
    <xf numFmtId="4" fontId="55" fillId="13" borderId="0" xfId="0" applyNumberFormat="1" applyFont="1" applyFill="1" applyBorder="1" applyAlignment="1" applyProtection="1">
      <alignment horizontal="right"/>
      <protection hidden="1"/>
    </xf>
    <xf numFmtId="4" fontId="55" fillId="13" borderId="76" xfId="0" applyNumberFormat="1" applyFont="1" applyFill="1" applyBorder="1" applyAlignment="1" applyProtection="1">
      <alignment horizontal="right"/>
      <protection hidden="1"/>
    </xf>
    <xf numFmtId="0" fontId="26" fillId="13" borderId="0" xfId="0" applyFont="1" applyFill="1" applyProtection="1">
      <protection hidden="1"/>
    </xf>
    <xf numFmtId="0" fontId="0" fillId="0" borderId="0" xfId="0" applyAlignment="1"/>
    <xf numFmtId="0" fontId="0" fillId="0" borderId="0" xfId="0"/>
    <xf numFmtId="0" fontId="0" fillId="0" borderId="0" xfId="0" applyAlignment="1">
      <alignment horizontal="justify" vertical="top" wrapText="1"/>
    </xf>
    <xf numFmtId="0" fontId="0" fillId="0" borderId="0" xfId="0" applyAlignment="1">
      <alignment vertical="top"/>
    </xf>
    <xf numFmtId="0" fontId="62" fillId="0" borderId="0" xfId="0" applyFont="1" applyAlignment="1">
      <alignment horizontal="left" vertical="top" wrapText="1"/>
    </xf>
    <xf numFmtId="0" fontId="62" fillId="0" borderId="0" xfId="0" applyFont="1" applyAlignment="1">
      <alignment vertical="top" wrapText="1"/>
    </xf>
    <xf numFmtId="0" fontId="60" fillId="16" borderId="0" xfId="0" applyFont="1" applyFill="1" applyBorder="1" applyAlignment="1">
      <alignment horizontal="justify" vertical="top"/>
    </xf>
    <xf numFmtId="0" fontId="0" fillId="13" borderId="0" xfId="0" applyFill="1"/>
    <xf numFmtId="0" fontId="0" fillId="0" borderId="0" xfId="0" applyFill="1" applyAlignment="1"/>
    <xf numFmtId="0" fontId="71" fillId="0" borderId="0" xfId="0" applyFont="1" applyFill="1" applyAlignment="1"/>
    <xf numFmtId="0" fontId="0" fillId="0" borderId="0" xfId="0" applyAlignment="1"/>
    <xf numFmtId="0" fontId="0" fillId="0" borderId="0" xfId="0" applyAlignment="1">
      <alignment horizontal="justify" vertical="top" wrapText="1"/>
    </xf>
    <xf numFmtId="0" fontId="0" fillId="0" borderId="0" xfId="0" applyAlignment="1">
      <alignment vertical="top"/>
    </xf>
    <xf numFmtId="0" fontId="0" fillId="0" borderId="0" xfId="0"/>
    <xf numFmtId="0" fontId="62" fillId="0" borderId="0" xfId="0" applyFont="1" applyAlignment="1">
      <alignment horizontal="left" vertical="top" wrapText="1"/>
    </xf>
    <xf numFmtId="0" fontId="62" fillId="0" borderId="0" xfId="0" applyFont="1" applyAlignment="1">
      <alignment vertical="top" wrapText="1"/>
    </xf>
    <xf numFmtId="0" fontId="60" fillId="0" borderId="0" xfId="0" applyFont="1" applyAlignment="1">
      <alignment horizontal="justify" vertical="top" wrapText="1"/>
    </xf>
    <xf numFmtId="0" fontId="85" fillId="0" borderId="0" xfId="0" applyNumberFormat="1" applyFont="1" applyFill="1" applyBorder="1" applyAlignment="1"/>
    <xf numFmtId="3" fontId="61" fillId="0" borderId="0" xfId="0" applyNumberFormat="1" applyFont="1" applyFill="1"/>
    <xf numFmtId="0" fontId="0" fillId="0" borderId="0" xfId="0" applyFill="1"/>
    <xf numFmtId="15" fontId="0" fillId="0" borderId="0" xfId="0" applyNumberFormat="1" applyFill="1"/>
    <xf numFmtId="0" fontId="60" fillId="0" borderId="0" xfId="0" applyFont="1" applyFill="1" applyAlignment="1"/>
    <xf numFmtId="0" fontId="62" fillId="0" borderId="0" xfId="0" applyFont="1" applyAlignment="1">
      <alignment vertical="top"/>
    </xf>
    <xf numFmtId="0" fontId="23" fillId="17" borderId="0" xfId="0" applyFont="1" applyFill="1"/>
    <xf numFmtId="0" fontId="26" fillId="17" borderId="102" xfId="0" applyFont="1" applyFill="1" applyBorder="1" applyProtection="1">
      <protection hidden="1"/>
    </xf>
    <xf numFmtId="0" fontId="26" fillId="17" borderId="0" xfId="0" applyFont="1" applyFill="1" applyAlignment="1" applyProtection="1">
      <alignment vertical="center"/>
    </xf>
    <xf numFmtId="0" fontId="26" fillId="0" borderId="155" xfId="0" applyFont="1" applyFill="1" applyBorder="1" applyAlignment="1" applyProtection="1">
      <alignment horizontal="center"/>
      <protection hidden="1"/>
    </xf>
    <xf numFmtId="0" fontId="26" fillId="0" borderId="157" xfId="0" applyFont="1" applyFill="1" applyBorder="1" applyAlignment="1" applyProtection="1">
      <alignment horizontal="center"/>
      <protection hidden="1"/>
    </xf>
    <xf numFmtId="0" fontId="26" fillId="0" borderId="169" xfId="0" applyFont="1" applyFill="1" applyBorder="1" applyProtection="1">
      <protection hidden="1"/>
    </xf>
    <xf numFmtId="0" fontId="26" fillId="0" borderId="159" xfId="0" applyFont="1" applyFill="1" applyBorder="1" applyAlignment="1" applyProtection="1">
      <alignment horizontal="center"/>
      <protection hidden="1"/>
    </xf>
    <xf numFmtId="0" fontId="26" fillId="0" borderId="170" xfId="0" applyFont="1" applyFill="1" applyBorder="1" applyAlignment="1" applyProtection="1">
      <alignment horizontal="center"/>
      <protection hidden="1"/>
    </xf>
    <xf numFmtId="0" fontId="26" fillId="0" borderId="42" xfId="0" applyFont="1" applyFill="1" applyBorder="1" applyAlignment="1" applyProtection="1">
      <alignment horizontal="center"/>
      <protection hidden="1"/>
    </xf>
    <xf numFmtId="0" fontId="112" fillId="0" borderId="0" xfId="0" applyFont="1" applyAlignment="1">
      <alignment vertical="center" wrapText="1"/>
    </xf>
    <xf numFmtId="0" fontId="113" fillId="0" borderId="0" xfId="0" applyFont="1" applyAlignment="1">
      <alignment horizontal="left" vertical="top" wrapText="1"/>
    </xf>
    <xf numFmtId="0" fontId="115" fillId="0" borderId="0" xfId="0" applyFont="1" applyFill="1" applyBorder="1" applyAlignment="1">
      <alignment vertical="center"/>
    </xf>
    <xf numFmtId="0" fontId="115" fillId="0" borderId="0" xfId="0" applyFont="1" applyFill="1" applyBorder="1" applyAlignment="1">
      <alignment horizontal="center" vertical="center"/>
    </xf>
    <xf numFmtId="10" fontId="112" fillId="0" borderId="0" xfId="0" applyNumberFormat="1" applyFont="1" applyFill="1" applyBorder="1" applyAlignment="1">
      <alignment horizontal="center" vertical="top"/>
    </xf>
    <xf numFmtId="0" fontId="23" fillId="0" borderId="0" xfId="0" applyFont="1"/>
    <xf numFmtId="10" fontId="116" fillId="0" borderId="0" xfId="0" applyNumberFormat="1" applyFont="1" applyFill="1" applyBorder="1" applyAlignment="1">
      <alignment horizontal="center" vertical="center"/>
    </xf>
    <xf numFmtId="0" fontId="23" fillId="0" borderId="0" xfId="0" applyFont="1" applyAlignment="1">
      <alignment wrapText="1"/>
    </xf>
    <xf numFmtId="0" fontId="109" fillId="0" borderId="0" xfId="0" applyFont="1" applyBorder="1" applyAlignment="1">
      <alignment vertical="center" wrapText="1"/>
    </xf>
    <xf numFmtId="0" fontId="113" fillId="0" borderId="0" xfId="0" applyFont="1" applyAlignment="1">
      <alignment horizontal="justify" vertical="top" wrapText="1"/>
    </xf>
    <xf numFmtId="0" fontId="23" fillId="0" borderId="0" xfId="0" applyFont="1" applyAlignment="1">
      <alignment horizontal="justify" vertical="top" wrapText="1"/>
    </xf>
    <xf numFmtId="0" fontId="124" fillId="0" borderId="0" xfId="0" applyFont="1" applyAlignment="1">
      <alignment vertical="center" wrapText="1"/>
    </xf>
    <xf numFmtId="0" fontId="125" fillId="0" borderId="0" xfId="0" applyFont="1" applyAlignment="1">
      <alignment wrapText="1"/>
    </xf>
    <xf numFmtId="0" fontId="125" fillId="0" borderId="0" xfId="0" applyFont="1"/>
    <xf numFmtId="0" fontId="26" fillId="17" borderId="171" xfId="0" applyFont="1" applyFill="1" applyBorder="1" applyProtection="1">
      <protection hidden="1"/>
    </xf>
    <xf numFmtId="0" fontId="26" fillId="17" borderId="105" xfId="0" applyFont="1" applyFill="1" applyBorder="1" applyAlignment="1" applyProtection="1">
      <alignment horizontal="center"/>
      <protection hidden="1"/>
    </xf>
    <xf numFmtId="3" fontId="28" fillId="17" borderId="105" xfId="0" applyNumberFormat="1" applyFont="1" applyFill="1" applyBorder="1" applyAlignment="1" applyProtection="1">
      <alignment horizontal="right"/>
      <protection hidden="1"/>
    </xf>
    <xf numFmtId="0" fontId="123" fillId="0" borderId="0" xfId="0" applyFont="1"/>
    <xf numFmtId="0" fontId="126" fillId="0" borderId="0" xfId="0" applyFont="1"/>
    <xf numFmtId="0" fontId="126" fillId="0" borderId="0" xfId="0" applyFont="1" applyAlignment="1">
      <alignment vertical="center" wrapText="1"/>
    </xf>
    <xf numFmtId="0" fontId="126" fillId="0" borderId="0" xfId="0" applyFont="1" applyFill="1" applyAlignment="1">
      <alignment vertical="center" wrapText="1"/>
    </xf>
    <xf numFmtId="0" fontId="126" fillId="0" borderId="0" xfId="0" applyFont="1" applyFill="1" applyAlignment="1">
      <alignment vertical="top" wrapText="1"/>
    </xf>
    <xf numFmtId="0" fontId="127" fillId="0" borderId="0" xfId="0" applyFont="1" applyAlignment="1">
      <alignment vertical="center" wrapText="1"/>
    </xf>
    <xf numFmtId="0" fontId="126" fillId="0" borderId="0" xfId="0" applyFont="1" applyAlignment="1">
      <alignment wrapText="1"/>
    </xf>
    <xf numFmtId="0" fontId="126" fillId="0" borderId="0" xfId="0" applyFont="1" applyAlignment="1">
      <alignment vertical="top" wrapText="1"/>
    </xf>
    <xf numFmtId="0" fontId="126" fillId="0" borderId="0" xfId="0" applyFont="1" applyAlignment="1">
      <alignment horizontal="justify" vertical="top" wrapText="1"/>
    </xf>
    <xf numFmtId="0" fontId="126" fillId="0" borderId="0" xfId="0" quotePrefix="1" applyFont="1" applyAlignment="1">
      <alignment horizontal="right"/>
    </xf>
    <xf numFmtId="0" fontId="0" fillId="17" borderId="52" xfId="0" applyFill="1" applyBorder="1" applyProtection="1">
      <protection hidden="1"/>
    </xf>
    <xf numFmtId="4" fontId="26" fillId="17" borderId="49" xfId="0" applyNumberFormat="1" applyFont="1" applyFill="1" applyBorder="1" applyAlignment="1" applyProtection="1">
      <alignment horizontal="right"/>
      <protection hidden="1"/>
    </xf>
    <xf numFmtId="0" fontId="26" fillId="17" borderId="0" xfId="0" applyFont="1" applyFill="1" applyAlignment="1" applyProtection="1">
      <alignment vertical="center"/>
    </xf>
    <xf numFmtId="0" fontId="0" fillId="17" borderId="0" xfId="0" applyFill="1"/>
    <xf numFmtId="0" fontId="128" fillId="0" borderId="0" xfId="0" applyFont="1"/>
    <xf numFmtId="0" fontId="129" fillId="0" borderId="0" xfId="0" applyFont="1"/>
    <xf numFmtId="0" fontId="128" fillId="0" borderId="0" xfId="0" applyFont="1" applyAlignment="1">
      <alignment vertical="center" wrapText="1"/>
    </xf>
    <xf numFmtId="0" fontId="128" fillId="0" borderId="0" xfId="0" applyFont="1" applyFill="1" applyAlignment="1">
      <alignment vertical="center" wrapText="1"/>
    </xf>
    <xf numFmtId="0" fontId="128" fillId="0" borderId="0" xfId="0" applyFont="1" applyFill="1"/>
    <xf numFmtId="0" fontId="128" fillId="0" borderId="0" xfId="0" applyFont="1" applyAlignment="1">
      <alignment vertical="top" wrapText="1"/>
    </xf>
    <xf numFmtId="0" fontId="128" fillId="0" borderId="0" xfId="0" applyFont="1" applyBorder="1" applyAlignment="1">
      <alignment vertical="top"/>
    </xf>
    <xf numFmtId="0" fontId="128" fillId="16" borderId="0" xfId="0" applyFont="1" applyFill="1" applyBorder="1" applyAlignment="1">
      <alignment horizontal="justify" vertical="top"/>
    </xf>
    <xf numFmtId="0" fontId="129" fillId="16" borderId="0" xfId="0" applyFont="1" applyFill="1" applyBorder="1" applyAlignment="1">
      <alignment horizontal="justify" vertical="top"/>
    </xf>
    <xf numFmtId="3" fontId="128" fillId="0" borderId="0" xfId="0" applyNumberFormat="1" applyFont="1"/>
    <xf numFmtId="0" fontId="129" fillId="0" borderId="0" xfId="0" applyFont="1" applyAlignment="1">
      <alignment vertical="top" wrapText="1"/>
    </xf>
    <xf numFmtId="0" fontId="128" fillId="0" borderId="0" xfId="0" applyFont="1" applyBorder="1" applyAlignment="1"/>
    <xf numFmtId="0" fontId="129" fillId="0" borderId="0" xfId="0" applyFont="1" applyBorder="1" applyAlignment="1"/>
    <xf numFmtId="0" fontId="0" fillId="17" borderId="0" xfId="0" applyFill="1"/>
    <xf numFmtId="0" fontId="73" fillId="35" borderId="0" xfId="0" applyFont="1" applyFill="1" applyAlignment="1" applyProtection="1">
      <protection hidden="1"/>
    </xf>
    <xf numFmtId="0" fontId="73" fillId="35" borderId="134" xfId="0" applyFont="1" applyFill="1" applyBorder="1" applyAlignment="1" applyProtection="1">
      <protection hidden="1"/>
    </xf>
    <xf numFmtId="0" fontId="122" fillId="27" borderId="0" xfId="0" applyFont="1" applyFill="1" applyProtection="1">
      <protection hidden="1"/>
    </xf>
    <xf numFmtId="0" fontId="122" fillId="27" borderId="14" xfId="0" applyFont="1" applyFill="1" applyBorder="1" applyAlignment="1" applyProtection="1">
      <alignment horizontal="center"/>
      <protection hidden="1"/>
    </xf>
    <xf numFmtId="0" fontId="133" fillId="27" borderId="14" xfId="0" applyFont="1" applyFill="1" applyBorder="1" applyAlignment="1" applyProtection="1">
      <alignment horizontal="center"/>
      <protection hidden="1"/>
    </xf>
    <xf numFmtId="0" fontId="66" fillId="36" borderId="0" xfId="0" applyFont="1" applyFill="1" applyBorder="1" applyAlignment="1" applyProtection="1">
      <alignment horizontal="center" vertical="top"/>
      <protection hidden="1"/>
    </xf>
    <xf numFmtId="0" fontId="27" fillId="18" borderId="0" xfId="0" applyFont="1" applyFill="1" applyAlignment="1" applyProtection="1">
      <alignment horizontal="left" vertical="top" wrapText="1" shrinkToFit="1"/>
      <protection hidden="1"/>
    </xf>
    <xf numFmtId="0" fontId="135" fillId="22" borderId="0" xfId="0" applyFont="1" applyFill="1" applyBorder="1" applyAlignment="1" applyProtection="1">
      <alignment horizontal="center"/>
      <protection hidden="1"/>
    </xf>
    <xf numFmtId="0" fontId="137" fillId="22" borderId="0" xfId="0" applyFont="1" applyFill="1" applyBorder="1" applyAlignment="1" applyProtection="1">
      <alignment horizontal="center" vertical="top"/>
      <protection hidden="1"/>
    </xf>
    <xf numFmtId="0" fontId="137" fillId="23" borderId="0" xfId="0" applyFont="1" applyFill="1" applyBorder="1" applyAlignment="1" applyProtection="1">
      <alignment horizontal="center" vertical="top"/>
      <protection hidden="1"/>
    </xf>
    <xf numFmtId="0" fontId="135" fillId="23" borderId="0" xfId="0" applyFont="1" applyFill="1" applyBorder="1" applyAlignment="1" applyProtection="1">
      <alignment horizontal="center" vertical="top"/>
      <protection hidden="1"/>
    </xf>
    <xf numFmtId="0" fontId="43" fillId="26" borderId="104" xfId="0" applyFont="1" applyFill="1" applyBorder="1" applyAlignment="1" applyProtection="1">
      <alignment horizontal="center" vertical="top"/>
      <protection hidden="1"/>
    </xf>
    <xf numFmtId="0" fontId="0" fillId="0" borderId="0" xfId="0" applyAlignment="1"/>
    <xf numFmtId="0" fontId="0" fillId="0" borderId="0" xfId="0" applyAlignment="1">
      <alignment vertical="center"/>
    </xf>
    <xf numFmtId="0" fontId="23" fillId="0" borderId="0" xfId="0" applyFont="1" applyAlignment="1">
      <alignment vertical="center"/>
    </xf>
    <xf numFmtId="0" fontId="140" fillId="37" borderId="0" xfId="0" applyFont="1" applyFill="1" applyBorder="1" applyAlignment="1">
      <alignment vertical="center"/>
    </xf>
    <xf numFmtId="0" fontId="99" fillId="37" borderId="0" xfId="0" applyFont="1" applyFill="1" applyBorder="1" applyAlignment="1">
      <alignment vertical="center"/>
    </xf>
    <xf numFmtId="0" fontId="37" fillId="37" borderId="1" xfId="0" applyFont="1" applyFill="1" applyBorder="1" applyAlignment="1">
      <alignment vertical="center"/>
    </xf>
    <xf numFmtId="0" fontId="37" fillId="37" borderId="0" xfId="0" applyFont="1" applyFill="1" applyBorder="1" applyAlignment="1">
      <alignment vertical="center"/>
    </xf>
    <xf numFmtId="0" fontId="36" fillId="37" borderId="0" xfId="0" applyFont="1" applyFill="1" applyBorder="1" applyAlignment="1">
      <alignment vertical="center"/>
    </xf>
    <xf numFmtId="0" fontId="101" fillId="29" borderId="14" xfId="0" applyFont="1" applyFill="1" applyBorder="1" applyAlignment="1">
      <alignment horizontal="center" vertical="center"/>
    </xf>
    <xf numFmtId="3" fontId="102" fillId="29" borderId="3" xfId="0" applyNumberFormat="1" applyFont="1" applyFill="1" applyBorder="1" applyAlignment="1">
      <alignment horizontal="center" vertical="center"/>
    </xf>
    <xf numFmtId="3" fontId="102" fillId="29" borderId="15" xfId="0" applyNumberFormat="1" applyFont="1" applyFill="1" applyBorder="1" applyAlignment="1">
      <alignment horizontal="center" vertical="center"/>
    </xf>
    <xf numFmtId="0" fontId="140" fillId="37" borderId="82" xfId="0" applyFont="1" applyFill="1" applyBorder="1" applyAlignment="1">
      <alignment vertical="center"/>
    </xf>
    <xf numFmtId="0" fontId="99" fillId="37" borderId="82" xfId="0" applyFont="1" applyFill="1" applyBorder="1" applyAlignment="1">
      <alignment horizontal="center" vertical="center"/>
    </xf>
    <xf numFmtId="0" fontId="99" fillId="37" borderId="82" xfId="0" applyFont="1" applyFill="1" applyBorder="1" applyAlignment="1">
      <alignment vertical="center"/>
    </xf>
    <xf numFmtId="0" fontId="141" fillId="37" borderId="0" xfId="0" applyFont="1" applyFill="1" applyBorder="1" applyAlignment="1"/>
    <xf numFmtId="0" fontId="140" fillId="37" borderId="0" xfId="0" applyFont="1" applyFill="1" applyBorder="1" applyAlignment="1">
      <alignment horizontal="left" vertical="center"/>
    </xf>
    <xf numFmtId="0" fontId="99" fillId="37" borderId="0" xfId="0" applyFont="1" applyFill="1" applyBorder="1" applyAlignment="1"/>
    <xf numFmtId="0" fontId="140" fillId="37" borderId="82" xfId="0" applyFont="1" applyFill="1" applyBorder="1" applyAlignment="1">
      <alignment horizontal="center" vertical="center"/>
    </xf>
    <xf numFmtId="0" fontId="140" fillId="37" borderId="0" xfId="0" applyFont="1" applyFill="1" applyBorder="1" applyAlignment="1">
      <alignment horizontal="center" vertical="center"/>
    </xf>
    <xf numFmtId="0" fontId="99" fillId="37" borderId="0" xfId="0" applyFont="1" applyFill="1" applyBorder="1" applyAlignment="1">
      <alignment horizontal="left" vertical="center"/>
    </xf>
    <xf numFmtId="0" fontId="140" fillId="37" borderId="0" xfId="0" applyFont="1" applyFill="1" applyBorder="1" applyAlignment="1">
      <alignment vertical="center" wrapText="1"/>
    </xf>
    <xf numFmtId="0" fontId="140" fillId="37" borderId="60" xfId="0" applyFont="1" applyFill="1" applyBorder="1" applyAlignment="1">
      <alignment vertical="center"/>
    </xf>
    <xf numFmtId="0" fontId="140" fillId="37" borderId="59" xfId="0" applyFont="1" applyFill="1" applyBorder="1" applyAlignment="1">
      <alignment vertical="center"/>
    </xf>
    <xf numFmtId="165" fontId="102" fillId="31" borderId="3" xfId="1" applyFont="1" applyFill="1" applyBorder="1" applyAlignment="1">
      <alignment vertical="center"/>
    </xf>
    <xf numFmtId="165" fontId="102" fillId="29" borderId="3" xfId="1" applyFont="1" applyFill="1" applyBorder="1" applyAlignment="1">
      <alignment vertical="center"/>
    </xf>
    <xf numFmtId="3" fontId="97" fillId="29" borderId="3" xfId="0" applyNumberFormat="1" applyFont="1" applyFill="1" applyBorder="1" applyAlignment="1">
      <alignment horizontal="center" vertical="center"/>
    </xf>
    <xf numFmtId="165" fontId="100" fillId="37" borderId="12" xfId="1" applyFont="1" applyFill="1" applyBorder="1" applyAlignment="1">
      <alignment vertical="center"/>
    </xf>
    <xf numFmtId="165" fontId="100" fillId="31" borderId="12" xfId="1" applyFont="1" applyFill="1" applyBorder="1" applyAlignment="1">
      <alignment vertical="center"/>
    </xf>
    <xf numFmtId="165" fontId="103" fillId="31" borderId="12" xfId="1" applyFont="1" applyFill="1" applyBorder="1" applyAlignment="1">
      <alignment horizontal="center" vertical="center"/>
    </xf>
    <xf numFmtId="165" fontId="103" fillId="37" borderId="13" xfId="1" applyFont="1" applyFill="1" applyBorder="1" applyAlignment="1">
      <alignment vertical="center"/>
    </xf>
    <xf numFmtId="165" fontId="103" fillId="31" borderId="12" xfId="1" applyFont="1" applyFill="1" applyBorder="1" applyAlignment="1">
      <alignment vertical="center"/>
    </xf>
    <xf numFmtId="165" fontId="102" fillId="31" borderId="10" xfId="1" applyFont="1" applyFill="1" applyBorder="1" applyAlignment="1">
      <alignment vertical="center"/>
    </xf>
    <xf numFmtId="165" fontId="102" fillId="37" borderId="6" xfId="1" applyFont="1" applyFill="1" applyBorder="1" applyAlignment="1">
      <alignment vertical="center"/>
    </xf>
    <xf numFmtId="165" fontId="102" fillId="38" borderId="3" xfId="1" applyFont="1" applyFill="1" applyBorder="1" applyAlignment="1">
      <alignment vertical="center"/>
    </xf>
    <xf numFmtId="165" fontId="102" fillId="38" borderId="15" xfId="1" applyFont="1" applyFill="1" applyBorder="1" applyAlignment="1">
      <alignment vertical="center"/>
    </xf>
    <xf numFmtId="165" fontId="103" fillId="31" borderId="11" xfId="1" applyFont="1" applyFill="1" applyBorder="1" applyAlignment="1">
      <alignment vertical="center"/>
    </xf>
    <xf numFmtId="165" fontId="102" fillId="29" borderId="15" xfId="1" applyFont="1" applyFill="1" applyBorder="1" applyAlignment="1">
      <alignment vertical="center"/>
    </xf>
    <xf numFmtId="165" fontId="103" fillId="37" borderId="9" xfId="1" applyFont="1" applyFill="1" applyBorder="1" applyAlignment="1">
      <alignment vertical="center"/>
    </xf>
    <xf numFmtId="165" fontId="102" fillId="31" borderId="12" xfId="1" applyFont="1" applyFill="1" applyBorder="1" applyAlignment="1">
      <alignment vertical="center"/>
    </xf>
    <xf numFmtId="165" fontId="102" fillId="37" borderId="13" xfId="1" applyFont="1" applyFill="1" applyBorder="1" applyAlignment="1">
      <alignment vertical="center"/>
    </xf>
    <xf numFmtId="165" fontId="102" fillId="37" borderId="11" xfId="1" applyFont="1" applyFill="1" applyBorder="1" applyAlignment="1">
      <alignment vertical="center"/>
    </xf>
    <xf numFmtId="165" fontId="103" fillId="37" borderId="11" xfId="1" applyFont="1" applyFill="1" applyBorder="1" applyAlignment="1">
      <alignment vertical="center"/>
    </xf>
    <xf numFmtId="165" fontId="102" fillId="37" borderId="15" xfId="1" applyFont="1" applyFill="1" applyBorder="1" applyAlignment="1">
      <alignment vertical="center"/>
    </xf>
    <xf numFmtId="165" fontId="102" fillId="29" borderId="61" xfId="1" applyFont="1" applyFill="1" applyBorder="1" applyAlignment="1">
      <alignment vertical="center"/>
    </xf>
    <xf numFmtId="0" fontId="94" fillId="0" borderId="0" xfId="0" applyFont="1" applyAlignment="1">
      <alignment horizontal="left" vertical="center"/>
    </xf>
    <xf numFmtId="0" fontId="92" fillId="0" borderId="0" xfId="0" applyFont="1" applyAlignment="1">
      <alignment horizontal="left" vertical="center"/>
    </xf>
    <xf numFmtId="0" fontId="0" fillId="0" borderId="0" xfId="0" quotePrefix="1" applyAlignment="1">
      <alignment horizontal="right"/>
    </xf>
    <xf numFmtId="0" fontId="0" fillId="17" borderId="0" xfId="0" applyFill="1"/>
    <xf numFmtId="0" fontId="146" fillId="33" borderId="49" xfId="0" applyFont="1" applyFill="1" applyBorder="1" applyAlignment="1" applyProtection="1">
      <alignment vertical="top" wrapText="1" shrinkToFit="1"/>
      <protection locked="0"/>
    </xf>
    <xf numFmtId="0" fontId="146" fillId="33" borderId="148" xfId="0" applyFont="1" applyFill="1" applyBorder="1" applyAlignment="1" applyProtection="1">
      <alignment vertical="top" wrapText="1" shrinkToFit="1"/>
      <protection locked="0"/>
    </xf>
    <xf numFmtId="0" fontId="146" fillId="33" borderId="147" xfId="0" quotePrefix="1" applyFont="1" applyFill="1" applyBorder="1" applyAlignment="1" applyProtection="1">
      <alignment horizontal="left" vertical="top" wrapText="1" shrinkToFit="1"/>
      <protection hidden="1"/>
    </xf>
    <xf numFmtId="0" fontId="146" fillId="33" borderId="49" xfId="0" applyFont="1" applyFill="1" applyBorder="1" applyAlignment="1" applyProtection="1">
      <alignment horizontal="left" vertical="top" wrapText="1" shrinkToFit="1"/>
      <protection hidden="1"/>
    </xf>
    <xf numFmtId="15" fontId="146" fillId="33" borderId="148" xfId="0" quotePrefix="1" applyNumberFormat="1" applyFont="1" applyFill="1" applyBorder="1" applyAlignment="1" applyProtection="1">
      <alignment horizontal="left" vertical="top" wrapText="1" shrinkToFit="1"/>
      <protection hidden="1"/>
    </xf>
    <xf numFmtId="15" fontId="147" fillId="33" borderId="49" xfId="0" applyNumberFormat="1" applyFont="1" applyFill="1" applyBorder="1" applyAlignment="1" applyProtection="1">
      <alignment horizontal="center" vertical="top" wrapText="1" shrinkToFit="1"/>
      <protection hidden="1"/>
    </xf>
    <xf numFmtId="15" fontId="147" fillId="33" borderId="49" xfId="0" quotePrefix="1" applyNumberFormat="1" applyFont="1" applyFill="1" applyBorder="1" applyAlignment="1" applyProtection="1">
      <alignment horizontal="center" vertical="top" wrapText="1" shrinkToFit="1"/>
      <protection hidden="1"/>
    </xf>
    <xf numFmtId="15" fontId="148" fillId="33" borderId="49" xfId="0" applyNumberFormat="1" applyFont="1" applyFill="1" applyBorder="1" applyAlignment="1" applyProtection="1">
      <alignment horizontal="center" vertical="top" wrapText="1" shrinkToFit="1"/>
      <protection hidden="1"/>
    </xf>
    <xf numFmtId="15" fontId="148" fillId="33" borderId="49" xfId="0" quotePrefix="1" applyNumberFormat="1" applyFont="1" applyFill="1" applyBorder="1" applyAlignment="1" applyProtection="1">
      <alignment horizontal="center" vertical="top" wrapText="1" shrinkToFit="1"/>
      <protection hidden="1"/>
    </xf>
    <xf numFmtId="0" fontId="26" fillId="33" borderId="2" xfId="0" applyFont="1" applyFill="1" applyBorder="1" applyProtection="1">
      <protection hidden="1"/>
    </xf>
    <xf numFmtId="0" fontId="26" fillId="33" borderId="0" xfId="0" applyFont="1" applyFill="1" applyProtection="1">
      <protection hidden="1"/>
    </xf>
    <xf numFmtId="0" fontId="27" fillId="33" borderId="101" xfId="0" applyFont="1" applyFill="1" applyBorder="1" applyProtection="1">
      <protection locked="0"/>
    </xf>
    <xf numFmtId="0" fontId="27" fillId="33" borderId="49" xfId="0" applyFont="1" applyFill="1" applyBorder="1" applyProtection="1">
      <protection locked="0"/>
    </xf>
    <xf numFmtId="0" fontId="26" fillId="33" borderId="101" xfId="0" applyFont="1" applyFill="1" applyBorder="1" applyProtection="1">
      <protection locked="0"/>
    </xf>
    <xf numFmtId="0" fontId="27" fillId="33" borderId="48" xfId="0" applyFont="1" applyFill="1" applyBorder="1" applyProtection="1">
      <protection locked="0"/>
    </xf>
    <xf numFmtId="0" fontId="26" fillId="33" borderId="48" xfId="0" applyFont="1" applyFill="1" applyBorder="1" applyProtection="1">
      <protection locked="0"/>
    </xf>
    <xf numFmtId="0" fontId="27" fillId="33" borderId="102" xfId="0" applyFont="1" applyFill="1" applyBorder="1" applyProtection="1">
      <protection locked="0"/>
    </xf>
    <xf numFmtId="3" fontId="36" fillId="33" borderId="86" xfId="0" applyNumberFormat="1" applyFont="1" applyFill="1" applyBorder="1" applyAlignment="1" applyProtection="1">
      <protection locked="0"/>
    </xf>
    <xf numFmtId="0" fontId="144" fillId="33" borderId="86" xfId="0" applyFont="1" applyFill="1" applyBorder="1" applyAlignment="1" applyProtection="1">
      <protection locked="0"/>
    </xf>
    <xf numFmtId="3" fontId="36" fillId="33" borderId="133" xfId="0" applyNumberFormat="1" applyFont="1" applyFill="1" applyBorder="1" applyAlignment="1" applyProtection="1">
      <protection locked="0"/>
    </xf>
    <xf numFmtId="3" fontId="14" fillId="31" borderId="12" xfId="0" applyNumberFormat="1" applyFont="1" applyFill="1" applyBorder="1" applyAlignment="1" applyProtection="1">
      <alignment horizontal="center" vertical="center"/>
    </xf>
    <xf numFmtId="3" fontId="14" fillId="31" borderId="13" xfId="0" applyNumberFormat="1" applyFont="1" applyFill="1" applyBorder="1" applyAlignment="1" applyProtection="1">
      <alignment vertical="center"/>
    </xf>
    <xf numFmtId="3" fontId="14" fillId="31" borderId="12" xfId="0" applyNumberFormat="1" applyFont="1" applyFill="1" applyBorder="1" applyAlignment="1" applyProtection="1">
      <alignment vertical="center"/>
    </xf>
    <xf numFmtId="1" fontId="97" fillId="31" borderId="10" xfId="1" applyNumberFormat="1" applyFont="1" applyFill="1" applyBorder="1" applyAlignment="1" applyProtection="1">
      <alignment vertical="center"/>
    </xf>
    <xf numFmtId="3" fontId="97" fillId="31" borderId="6" xfId="0" applyNumberFormat="1" applyFont="1" applyFill="1" applyBorder="1" applyAlignment="1" applyProtection="1">
      <alignment vertical="center"/>
    </xf>
    <xf numFmtId="165" fontId="97" fillId="31" borderId="10" xfId="1" applyFont="1" applyFill="1" applyBorder="1" applyAlignment="1" applyProtection="1">
      <alignment vertical="center"/>
    </xf>
    <xf numFmtId="3" fontId="97" fillId="31" borderId="10" xfId="0" applyNumberFormat="1" applyFont="1" applyFill="1" applyBorder="1" applyAlignment="1" applyProtection="1">
      <alignment vertical="center"/>
    </xf>
    <xf numFmtId="165" fontId="98" fillId="31" borderId="3" xfId="1" applyFont="1" applyFill="1" applyBorder="1" applyAlignment="1" applyProtection="1">
      <alignment vertical="center"/>
    </xf>
    <xf numFmtId="3" fontId="98" fillId="31" borderId="15" xfId="0" applyNumberFormat="1" applyFont="1" applyFill="1" applyBorder="1" applyAlignment="1" applyProtection="1">
      <alignment vertical="center"/>
    </xf>
    <xf numFmtId="165" fontId="97" fillId="31" borderId="3" xfId="1" applyFont="1" applyFill="1" applyBorder="1" applyAlignment="1" applyProtection="1">
      <alignment vertical="center"/>
    </xf>
    <xf numFmtId="3" fontId="97" fillId="31" borderId="15" xfId="0" applyNumberFormat="1" applyFont="1" applyFill="1" applyBorder="1" applyAlignment="1" applyProtection="1">
      <alignment vertical="center"/>
    </xf>
    <xf numFmtId="3" fontId="97" fillId="31" borderId="12" xfId="0" applyNumberFormat="1" applyFont="1" applyFill="1" applyBorder="1" applyAlignment="1" applyProtection="1">
      <alignment vertical="center"/>
    </xf>
    <xf numFmtId="3" fontId="97" fillId="31" borderId="13" xfId="0" applyNumberFormat="1" applyFont="1" applyFill="1" applyBorder="1" applyAlignment="1" applyProtection="1">
      <alignment vertical="center"/>
    </xf>
    <xf numFmtId="3" fontId="13" fillId="31" borderId="12" xfId="0" applyNumberFormat="1" applyFont="1" applyFill="1" applyBorder="1" applyAlignment="1" applyProtection="1">
      <alignment vertical="center"/>
    </xf>
    <xf numFmtId="3" fontId="13" fillId="31" borderId="13" xfId="0" applyNumberFormat="1" applyFont="1" applyFill="1" applyBorder="1" applyAlignment="1" applyProtection="1">
      <alignment vertical="center"/>
    </xf>
    <xf numFmtId="3" fontId="97" fillId="31" borderId="3" xfId="0" applyNumberFormat="1" applyFont="1" applyFill="1" applyBorder="1" applyAlignment="1" applyProtection="1">
      <alignment vertical="center"/>
    </xf>
    <xf numFmtId="165" fontId="98" fillId="31" borderId="67" xfId="1" applyFont="1" applyFill="1" applyBorder="1" applyAlignment="1" applyProtection="1">
      <alignment vertical="center"/>
    </xf>
    <xf numFmtId="165" fontId="98" fillId="31" borderId="10" xfId="1" applyFont="1" applyFill="1" applyBorder="1" applyAlignment="1" applyProtection="1">
      <alignment vertical="center"/>
    </xf>
    <xf numFmtId="3" fontId="98" fillId="31" borderId="10" xfId="0" applyNumberFormat="1" applyFont="1" applyFill="1" applyBorder="1" applyAlignment="1" applyProtection="1">
      <alignment vertical="center"/>
    </xf>
    <xf numFmtId="3" fontId="14" fillId="31" borderId="67" xfId="0" applyNumberFormat="1" applyFont="1" applyFill="1" applyBorder="1" applyAlignment="1" applyProtection="1">
      <alignment vertical="center"/>
    </xf>
    <xf numFmtId="165" fontId="36" fillId="33" borderId="86" xfId="1" applyFont="1" applyFill="1" applyBorder="1" applyAlignment="1" applyProtection="1">
      <protection locked="0"/>
    </xf>
    <xf numFmtId="3" fontId="66" fillId="17" borderId="51" xfId="0" applyNumberFormat="1" applyFont="1" applyFill="1" applyBorder="1" applyAlignment="1" applyProtection="1">
      <protection hidden="1"/>
    </xf>
    <xf numFmtId="165" fontId="97" fillId="33" borderId="83" xfId="1" applyFont="1" applyFill="1" applyBorder="1" applyAlignment="1">
      <alignment horizontal="right" vertical="center"/>
    </xf>
    <xf numFmtId="0" fontId="0" fillId="0" borderId="0" xfId="0" applyAlignment="1">
      <alignment horizontal="center"/>
    </xf>
    <xf numFmtId="0" fontId="19" fillId="0" borderId="0" xfId="0" applyFont="1"/>
    <xf numFmtId="0" fontId="19" fillId="0" borderId="0" xfId="0" applyFont="1" applyAlignment="1">
      <alignment horizontal="left"/>
    </xf>
    <xf numFmtId="165" fontId="0" fillId="0" borderId="0" xfId="1" applyFont="1"/>
    <xf numFmtId="0" fontId="0" fillId="0" borderId="0" xfId="0" applyAlignment="1">
      <alignment horizontal="center"/>
    </xf>
    <xf numFmtId="0" fontId="0" fillId="0" borderId="0" xfId="0" applyAlignment="1">
      <alignment horizontal="center" vertical="center"/>
    </xf>
    <xf numFmtId="0" fontId="0" fillId="0" borderId="132" xfId="0" applyBorder="1" applyAlignment="1">
      <alignment horizontal="center"/>
    </xf>
    <xf numFmtId="0" fontId="0" fillId="0" borderId="132" xfId="0" applyBorder="1" applyAlignment="1">
      <alignment horizontal="center" vertical="center"/>
    </xf>
    <xf numFmtId="165" fontId="0" fillId="0" borderId="132" xfId="1" applyFont="1" applyBorder="1"/>
    <xf numFmtId="0" fontId="0" fillId="0" borderId="86" xfId="0" applyBorder="1" applyAlignment="1">
      <alignment horizontal="center"/>
    </xf>
    <xf numFmtId="0" fontId="0" fillId="0" borderId="86" xfId="0" applyBorder="1" applyAlignment="1">
      <alignment horizontal="center" vertical="center"/>
    </xf>
    <xf numFmtId="165" fontId="0" fillId="0" borderId="86" xfId="1" applyFont="1" applyBorder="1"/>
    <xf numFmtId="0" fontId="0" fillId="0" borderId="133" xfId="0" applyBorder="1" applyAlignment="1">
      <alignment horizontal="center"/>
    </xf>
    <xf numFmtId="0" fontId="0" fillId="0" borderId="133" xfId="0" applyBorder="1" applyAlignment="1">
      <alignment horizontal="center" vertical="center"/>
    </xf>
    <xf numFmtId="165" fontId="0" fillId="0" borderId="133" xfId="1" applyFont="1" applyBorder="1"/>
    <xf numFmtId="0" fontId="151" fillId="0" borderId="0" xfId="0" applyFont="1" applyAlignment="1">
      <alignment horizontal="left"/>
    </xf>
    <xf numFmtId="0" fontId="151" fillId="0" borderId="0" xfId="0" applyFont="1"/>
    <xf numFmtId="0" fontId="0" fillId="0" borderId="172" xfId="0" applyBorder="1" applyAlignment="1">
      <alignment horizontal="center"/>
    </xf>
    <xf numFmtId="165" fontId="0" fillId="0" borderId="172" xfId="1" applyFont="1" applyBorder="1"/>
    <xf numFmtId="0" fontId="0" fillId="0" borderId="108" xfId="0" applyBorder="1" applyAlignment="1">
      <alignment horizontal="center"/>
    </xf>
    <xf numFmtId="165" fontId="0" fillId="0" borderId="108" xfId="1" applyFont="1" applyBorder="1"/>
    <xf numFmtId="165" fontId="0" fillId="0" borderId="83" xfId="1" applyFont="1" applyBorder="1"/>
    <xf numFmtId="0" fontId="0" fillId="35" borderId="3" xfId="0" applyFill="1" applyBorder="1" applyAlignment="1">
      <alignment horizontal="center" vertical="center"/>
    </xf>
    <xf numFmtId="3" fontId="152" fillId="17" borderId="51" xfId="0" applyNumberFormat="1" applyFont="1" applyFill="1" applyBorder="1" applyProtection="1">
      <protection hidden="1"/>
    </xf>
    <xf numFmtId="165" fontId="0" fillId="0" borderId="0" xfId="0" applyNumberFormat="1"/>
    <xf numFmtId="165" fontId="0" fillId="0" borderId="12" xfId="1" applyFont="1" applyFill="1" applyBorder="1"/>
    <xf numFmtId="0" fontId="26" fillId="17" borderId="0" xfId="0" applyFont="1" applyFill="1" applyAlignment="1" applyProtection="1">
      <alignment vertical="center"/>
    </xf>
    <xf numFmtId="4" fontId="26" fillId="17" borderId="49" xfId="0" applyNumberFormat="1" applyFont="1" applyFill="1" applyBorder="1" applyAlignment="1" applyProtection="1">
      <alignment horizontal="right"/>
      <protection hidden="1"/>
    </xf>
    <xf numFmtId="0" fontId="26" fillId="17" borderId="0" xfId="0" applyFont="1" applyFill="1" applyBorder="1" applyProtection="1">
      <protection hidden="1"/>
    </xf>
    <xf numFmtId="0" fontId="146" fillId="33" borderId="104" xfId="0" quotePrefix="1" applyFont="1" applyFill="1" applyBorder="1" applyAlignment="1" applyProtection="1">
      <alignment horizontal="left" vertical="top" wrapText="1" shrinkToFit="1"/>
      <protection locked="0"/>
    </xf>
    <xf numFmtId="0" fontId="0" fillId="17" borderId="0" xfId="0" applyFill="1"/>
    <xf numFmtId="15" fontId="146" fillId="33" borderId="49" xfId="0" quotePrefix="1" applyNumberFormat="1" applyFont="1" applyFill="1" applyBorder="1" applyAlignment="1" applyProtection="1">
      <alignment horizontal="left" vertical="top" wrapText="1" shrinkToFit="1"/>
      <protection hidden="1"/>
    </xf>
    <xf numFmtId="0" fontId="146" fillId="33" borderId="104" xfId="0" quotePrefix="1" applyFont="1" applyFill="1" applyBorder="1" applyAlignment="1" applyProtection="1">
      <alignment horizontal="left" vertical="top" wrapText="1" shrinkToFit="1"/>
      <protection locked="0"/>
    </xf>
    <xf numFmtId="49" fontId="148" fillId="33" borderId="49" xfId="0" quotePrefix="1" applyNumberFormat="1" applyFont="1" applyFill="1" applyBorder="1" applyAlignment="1" applyProtection="1">
      <alignment horizontal="left" vertical="top" wrapText="1" shrinkToFit="1"/>
      <protection hidden="1"/>
    </xf>
    <xf numFmtId="0" fontId="153" fillId="17" borderId="0" xfId="0" applyFont="1" applyFill="1" applyAlignment="1">
      <alignment horizontal="justify" vertical="top" wrapText="1"/>
    </xf>
    <xf numFmtId="0" fontId="153" fillId="17" borderId="0" xfId="0" applyFont="1" applyFill="1" applyAlignment="1">
      <alignment horizontal="justify" vertical="top"/>
    </xf>
    <xf numFmtId="0" fontId="153" fillId="17" borderId="0" xfId="0" applyFont="1" applyFill="1"/>
    <xf numFmtId="0" fontId="153" fillId="0" borderId="0" xfId="0" applyFont="1" applyAlignment="1">
      <alignment vertical="center"/>
    </xf>
    <xf numFmtId="0" fontId="153" fillId="0" borderId="0" xfId="0" applyFont="1" applyAlignment="1">
      <alignment horizontal="right" vertical="center"/>
    </xf>
    <xf numFmtId="0" fontId="153" fillId="0" borderId="0" xfId="0" applyFont="1" applyAlignment="1">
      <alignment horizontal="center" vertical="center"/>
    </xf>
    <xf numFmtId="3" fontId="153" fillId="0" borderId="0" xfId="0" applyNumberFormat="1" applyFont="1" applyAlignment="1">
      <alignment horizontal="right" vertical="center"/>
    </xf>
    <xf numFmtId="0" fontId="153" fillId="17" borderId="59" xfId="0" applyFont="1" applyFill="1" applyBorder="1"/>
    <xf numFmtId="0" fontId="162" fillId="17" borderId="0" xfId="0" applyFont="1" applyFill="1" applyAlignment="1">
      <alignment vertical="center"/>
    </xf>
    <xf numFmtId="0" fontId="163" fillId="17" borderId="0" xfId="0" applyFont="1" applyFill="1" applyAlignment="1">
      <alignment horizontal="right" vertical="center"/>
    </xf>
    <xf numFmtId="0" fontId="164" fillId="29" borderId="179" xfId="0" applyFont="1" applyFill="1" applyBorder="1" applyAlignment="1">
      <alignment horizontal="center" vertical="center" wrapText="1"/>
    </xf>
    <xf numFmtId="0" fontId="164" fillId="29" borderId="180" xfId="0" applyFont="1" applyFill="1" applyBorder="1" applyAlignment="1">
      <alignment horizontal="center" vertical="center" wrapText="1"/>
    </xf>
    <xf numFmtId="0" fontId="16" fillId="37" borderId="13" xfId="0" applyFont="1" applyFill="1" applyBorder="1" applyAlignment="1">
      <alignment vertical="center" wrapText="1"/>
    </xf>
    <xf numFmtId="0" fontId="15" fillId="37" borderId="182" xfId="0" applyFont="1" applyFill="1" applyBorder="1" applyAlignment="1">
      <alignment horizontal="center" vertical="center" wrapText="1"/>
    </xf>
    <xf numFmtId="165" fontId="16" fillId="37" borderId="186" xfId="1" applyFont="1" applyFill="1" applyBorder="1" applyAlignment="1">
      <alignment vertical="center" wrapText="1"/>
    </xf>
    <xf numFmtId="165" fontId="16" fillId="31" borderId="183" xfId="1" applyFont="1" applyFill="1" applyBorder="1" applyAlignment="1">
      <alignment vertical="center" wrapText="1"/>
    </xf>
    <xf numFmtId="0" fontId="16" fillId="31" borderId="182" xfId="0" applyFont="1" applyFill="1" applyBorder="1" applyAlignment="1">
      <alignment vertical="center" wrapText="1"/>
    </xf>
    <xf numFmtId="165" fontId="16" fillId="37" borderId="182" xfId="1" applyFont="1" applyFill="1" applyBorder="1" applyAlignment="1">
      <alignment vertical="center" wrapText="1"/>
    </xf>
    <xf numFmtId="0" fontId="16" fillId="37" borderId="82" xfId="0" applyFont="1" applyFill="1" applyBorder="1" applyAlignment="1">
      <alignment vertical="center" wrapText="1"/>
    </xf>
    <xf numFmtId="0" fontId="16" fillId="37" borderId="0" xfId="0" applyFont="1" applyFill="1" applyBorder="1" applyAlignment="1">
      <alignment vertical="center" wrapText="1"/>
    </xf>
    <xf numFmtId="0" fontId="16" fillId="37" borderId="12" xfId="0" applyFont="1" applyFill="1" applyBorder="1" applyAlignment="1">
      <alignment horizontal="center" vertical="center" wrapText="1"/>
    </xf>
    <xf numFmtId="165" fontId="16" fillId="37" borderId="187" xfId="1" applyFont="1" applyFill="1" applyBorder="1" applyAlignment="1">
      <alignment horizontal="right" vertical="center" wrapText="1"/>
    </xf>
    <xf numFmtId="165" fontId="16" fillId="31" borderId="184" xfId="1" applyFont="1" applyFill="1" applyBorder="1" applyAlignment="1">
      <alignment horizontal="right" vertical="center" wrapText="1"/>
    </xf>
    <xf numFmtId="10" fontId="16" fillId="31" borderId="12" xfId="0" applyNumberFormat="1" applyFont="1" applyFill="1" applyBorder="1" applyAlignment="1">
      <alignment horizontal="right" vertical="center" wrapText="1"/>
    </xf>
    <xf numFmtId="165" fontId="16" fillId="37" borderId="12" xfId="1" applyFont="1" applyFill="1" applyBorder="1" applyAlignment="1">
      <alignment horizontal="right" vertical="center" wrapText="1"/>
    </xf>
    <xf numFmtId="0" fontId="15" fillId="37" borderId="82" xfId="0" applyFont="1" applyFill="1" applyBorder="1" applyAlignment="1">
      <alignment vertical="center" wrapText="1"/>
    </xf>
    <xf numFmtId="0" fontId="15" fillId="37" borderId="0" xfId="0" applyFont="1" applyFill="1" applyBorder="1" applyAlignment="1">
      <alignment vertical="center" wrapText="1"/>
    </xf>
    <xf numFmtId="0" fontId="15" fillId="37" borderId="13" xfId="0" applyFont="1" applyFill="1" applyBorder="1" applyAlignment="1">
      <alignment vertical="center" wrapText="1"/>
    </xf>
    <xf numFmtId="0" fontId="15" fillId="37" borderId="12" xfId="0" applyFont="1" applyFill="1" applyBorder="1" applyAlignment="1">
      <alignment horizontal="center" vertical="center" wrapText="1"/>
    </xf>
    <xf numFmtId="165" fontId="15" fillId="38" borderId="188" xfId="1" applyFont="1" applyFill="1" applyBorder="1" applyAlignment="1">
      <alignment horizontal="right" vertical="center" wrapText="1"/>
    </xf>
    <xf numFmtId="165" fontId="15" fillId="38" borderId="185" xfId="1" applyFont="1" applyFill="1" applyBorder="1" applyAlignment="1">
      <alignment horizontal="right" vertical="center" wrapText="1"/>
    </xf>
    <xf numFmtId="10" fontId="15" fillId="38" borderId="3" xfId="0" applyNumberFormat="1" applyFont="1" applyFill="1" applyBorder="1" applyAlignment="1">
      <alignment horizontal="right" vertical="center" wrapText="1"/>
    </xf>
    <xf numFmtId="165" fontId="15" fillId="37" borderId="3" xfId="1" applyFont="1" applyFill="1" applyBorder="1" applyAlignment="1">
      <alignment horizontal="right" vertical="center" wrapText="1"/>
    </xf>
    <xf numFmtId="0" fontId="16" fillId="31" borderId="12" xfId="0" applyFont="1" applyFill="1" applyBorder="1" applyAlignment="1">
      <alignment horizontal="right" vertical="center" wrapText="1"/>
    </xf>
    <xf numFmtId="0" fontId="16" fillId="37" borderId="13" xfId="0" applyFont="1" applyFill="1" applyBorder="1" applyAlignment="1">
      <alignment vertical="center"/>
    </xf>
    <xf numFmtId="0" fontId="16" fillId="37" borderId="0" xfId="0" applyFont="1" applyFill="1" applyBorder="1" applyAlignment="1">
      <alignment vertical="center"/>
    </xf>
    <xf numFmtId="15" fontId="165" fillId="29" borderId="177" xfId="0" applyNumberFormat="1" applyFont="1" applyFill="1" applyBorder="1" applyAlignment="1">
      <alignment horizontal="center" vertical="center" wrapText="1"/>
    </xf>
    <xf numFmtId="0" fontId="164" fillId="29" borderId="181" xfId="0" applyFont="1" applyFill="1" applyBorder="1" applyAlignment="1">
      <alignment horizontal="center" vertical="center" wrapText="1"/>
    </xf>
    <xf numFmtId="0" fontId="99" fillId="37" borderId="60" xfId="0" applyFont="1" applyFill="1" applyBorder="1" applyAlignment="1">
      <alignment horizontal="center" vertical="center"/>
    </xf>
    <xf numFmtId="0" fontId="168" fillId="17" borderId="0" xfId="0" applyFont="1" applyFill="1" applyBorder="1" applyAlignment="1">
      <alignment vertical="center"/>
    </xf>
    <xf numFmtId="0" fontId="166" fillId="17" borderId="0" xfId="0" applyFont="1" applyFill="1" applyBorder="1" applyAlignment="1">
      <alignment vertical="center"/>
    </xf>
    <xf numFmtId="3" fontId="166" fillId="17" borderId="0" xfId="0" applyNumberFormat="1" applyFont="1" applyFill="1" applyBorder="1" applyAlignment="1">
      <alignment vertical="center"/>
    </xf>
    <xf numFmtId="3" fontId="168" fillId="17" borderId="0" xfId="0" applyNumberFormat="1" applyFont="1" applyFill="1" applyBorder="1" applyAlignment="1">
      <alignment horizontal="right" vertical="center"/>
    </xf>
    <xf numFmtId="0" fontId="37" fillId="37" borderId="59" xfId="0" applyFont="1" applyFill="1" applyBorder="1" applyAlignment="1">
      <alignment horizontal="center" vertical="center"/>
    </xf>
    <xf numFmtId="165" fontId="97" fillId="29" borderId="67" xfId="1" applyFont="1" applyFill="1" applyBorder="1" applyAlignment="1">
      <alignment vertical="center"/>
    </xf>
    <xf numFmtId="0" fontId="37" fillId="37" borderId="4" xfId="0" applyFont="1" applyFill="1" applyBorder="1" applyAlignment="1">
      <alignment vertical="center"/>
    </xf>
    <xf numFmtId="0" fontId="100" fillId="37" borderId="12" xfId="0" applyFont="1" applyFill="1" applyBorder="1" applyAlignment="1">
      <alignment horizontal="center" vertical="center"/>
    </xf>
    <xf numFmtId="0" fontId="37" fillId="37" borderId="82" xfId="0" applyFont="1" applyFill="1" applyBorder="1" applyAlignment="1">
      <alignment vertical="center"/>
    </xf>
    <xf numFmtId="0" fontId="36" fillId="37" borderId="82" xfId="0" applyFont="1" applyFill="1" applyBorder="1" applyAlignment="1">
      <alignment vertical="center"/>
    </xf>
    <xf numFmtId="0" fontId="100" fillId="37" borderId="67" xfId="0" applyFont="1" applyFill="1" applyBorder="1" applyAlignment="1">
      <alignment horizontal="center" vertical="center"/>
    </xf>
    <xf numFmtId="0" fontId="123" fillId="0" borderId="0" xfId="0" applyFont="1" applyAlignment="1">
      <alignment horizontal="left" vertical="center"/>
    </xf>
    <xf numFmtId="0" fontId="153" fillId="0" borderId="0" xfId="0" applyFont="1" applyAlignment="1">
      <alignment vertical="top"/>
    </xf>
    <xf numFmtId="0" fontId="153" fillId="0" borderId="0" xfId="0" applyFont="1" applyFill="1" applyAlignment="1">
      <alignment vertical="top" wrapText="1"/>
    </xf>
    <xf numFmtId="0" fontId="171" fillId="0" borderId="0" xfId="0" applyFont="1" applyAlignment="1">
      <alignment vertical="top" wrapText="1"/>
    </xf>
    <xf numFmtId="0" fontId="153" fillId="0" borderId="0" xfId="0" applyFont="1" applyAlignment="1">
      <alignment horizontal="justify" vertical="top" wrapText="1"/>
    </xf>
    <xf numFmtId="0" fontId="173" fillId="0" borderId="0" xfId="0" applyFont="1"/>
    <xf numFmtId="0" fontId="170" fillId="0" borderId="0" xfId="0" applyFont="1" applyAlignment="1">
      <alignment vertical="top"/>
    </xf>
    <xf numFmtId="0" fontId="153" fillId="0" borderId="0" xfId="0" applyFont="1"/>
    <xf numFmtId="0" fontId="154" fillId="0" borderId="0" xfId="0" applyFont="1"/>
    <xf numFmtId="0" fontId="153" fillId="0" borderId="0" xfId="0" applyFont="1" applyAlignment="1">
      <alignment vertical="top" wrapText="1"/>
    </xf>
    <xf numFmtId="0" fontId="153" fillId="0" borderId="0" xfId="0" applyFont="1" applyAlignment="1">
      <alignment horizontal="center" vertical="top" wrapText="1"/>
    </xf>
    <xf numFmtId="0" fontId="153" fillId="0" borderId="0" xfId="0" quotePrefix="1" applyFont="1" applyAlignment="1">
      <alignment horizontal="center"/>
    </xf>
    <xf numFmtId="0" fontId="153" fillId="0" borderId="0" xfId="0" quotePrefix="1" applyFont="1" applyAlignment="1">
      <alignment horizontal="center" vertical="top"/>
    </xf>
    <xf numFmtId="0" fontId="153" fillId="0" borderId="0" xfId="0" applyFont="1" applyAlignment="1">
      <alignment horizontal="justify" vertical="top"/>
    </xf>
    <xf numFmtId="0" fontId="175" fillId="0" borderId="0" xfId="0" applyFont="1"/>
    <xf numFmtId="0" fontId="176" fillId="0" borderId="0" xfId="0" applyFont="1"/>
    <xf numFmtId="0" fontId="176" fillId="0" borderId="0" xfId="0" applyFont="1" applyAlignment="1">
      <alignment vertical="top" wrapText="1"/>
    </xf>
    <xf numFmtId="0" fontId="173" fillId="0" borderId="0" xfId="0" applyFont="1" applyAlignment="1">
      <alignment horizontal="left" vertical="top" wrapText="1"/>
    </xf>
    <xf numFmtId="0" fontId="173" fillId="0" borderId="0" xfId="0" applyFont="1" applyBorder="1"/>
    <xf numFmtId="0" fontId="154" fillId="0" borderId="0" xfId="0" applyFont="1" applyAlignment="1"/>
    <xf numFmtId="0" fontId="171" fillId="0" borderId="0" xfId="0" applyFont="1" applyAlignment="1">
      <alignment horizontal="left" vertical="top"/>
    </xf>
    <xf numFmtId="0" fontId="154" fillId="0" borderId="0" xfId="0" quotePrefix="1" applyFont="1" applyAlignment="1">
      <alignment vertical="top" wrapText="1"/>
    </xf>
    <xf numFmtId="0" fontId="169" fillId="0" borderId="0" xfId="0" applyFont="1" applyAlignment="1">
      <alignment vertical="center"/>
    </xf>
    <xf numFmtId="0" fontId="178" fillId="0" borderId="0" xfId="0" applyFont="1" applyAlignment="1">
      <alignment vertical="center" wrapText="1"/>
    </xf>
    <xf numFmtId="0" fontId="145" fillId="0" borderId="0" xfId="0" applyFont="1" applyAlignment="1">
      <alignment horizontal="left" vertical="top" wrapText="1"/>
    </xf>
    <xf numFmtId="0" fontId="171" fillId="0" borderId="0" xfId="0" applyFont="1" applyAlignment="1">
      <alignment horizontal="left" vertical="top" wrapText="1"/>
    </xf>
    <xf numFmtId="0" fontId="153" fillId="0" borderId="0" xfId="0" applyFont="1" applyAlignment="1">
      <alignment horizontal="justify" vertical="top" wrapText="1"/>
    </xf>
    <xf numFmtId="0" fontId="0" fillId="0" borderId="0" xfId="0" applyAlignment="1">
      <alignment horizontal="justify" vertical="top" wrapText="1"/>
    </xf>
    <xf numFmtId="0" fontId="154" fillId="0" borderId="0" xfId="0" applyFont="1" applyAlignment="1">
      <alignment horizontal="left"/>
    </xf>
    <xf numFmtId="0" fontId="153" fillId="0" borderId="0" xfId="0" applyFont="1" applyAlignment="1">
      <alignment horizontal="justify" vertical="top"/>
    </xf>
    <xf numFmtId="0" fontId="129" fillId="0" borderId="0" xfId="0" applyFont="1"/>
    <xf numFmtId="0" fontId="172" fillId="0" borderId="0" xfId="0" applyFont="1" applyAlignment="1">
      <alignment horizontal="justify" vertical="top" wrapText="1"/>
    </xf>
    <xf numFmtId="0" fontId="153" fillId="0" borderId="0" xfId="0" applyFont="1" applyAlignment="1">
      <alignment horizontal="justify" vertical="top" wrapText="1"/>
    </xf>
    <xf numFmtId="0" fontId="153" fillId="0" borderId="0" xfId="0" applyFont="1" applyAlignment="1">
      <alignment horizontal="justify" vertical="top"/>
    </xf>
    <xf numFmtId="0" fontId="169" fillId="0" borderId="0" xfId="0" applyFont="1" applyAlignment="1">
      <alignment vertical="center" wrapText="1"/>
    </xf>
    <xf numFmtId="0" fontId="128" fillId="0" borderId="0" xfId="0" applyFont="1" applyBorder="1" applyAlignment="1">
      <alignment vertical="top"/>
    </xf>
    <xf numFmtId="0" fontId="129" fillId="0" borderId="0" xfId="0" applyFont="1"/>
    <xf numFmtId="0" fontId="0" fillId="0" borderId="0" xfId="0" applyBorder="1" applyAlignment="1">
      <alignment vertical="top" wrapText="1"/>
    </xf>
    <xf numFmtId="0" fontId="101" fillId="29" borderId="3" xfId="0" applyFont="1" applyFill="1" applyBorder="1" applyAlignment="1">
      <alignment horizontal="center" vertical="center"/>
    </xf>
    <xf numFmtId="165" fontId="100" fillId="31" borderId="0" xfId="1" applyFont="1" applyFill="1" applyBorder="1" applyAlignment="1">
      <alignment horizontal="center" vertical="center"/>
    </xf>
    <xf numFmtId="165" fontId="100" fillId="31" borderId="0" xfId="1" applyFont="1" applyFill="1" applyBorder="1" applyAlignment="1">
      <alignment vertical="center"/>
    </xf>
    <xf numFmtId="165" fontId="36" fillId="37" borderId="10" xfId="1" applyFont="1" applyFill="1" applyBorder="1" applyAlignment="1">
      <alignment vertical="center"/>
    </xf>
    <xf numFmtId="165" fontId="36" fillId="37" borderId="12" xfId="1" applyFont="1" applyFill="1" applyBorder="1" applyAlignment="1">
      <alignment vertical="center"/>
    </xf>
    <xf numFmtId="165" fontId="100" fillId="38" borderId="3" xfId="1" applyFont="1" applyFill="1" applyBorder="1" applyAlignment="1">
      <alignment vertical="center"/>
    </xf>
    <xf numFmtId="165" fontId="100" fillId="31" borderId="8" xfId="1" applyFont="1" applyFill="1" applyBorder="1" applyAlignment="1">
      <alignment vertical="center"/>
    </xf>
    <xf numFmtId="165" fontId="100" fillId="38" borderId="16" xfId="1" applyFont="1" applyFill="1" applyBorder="1" applyAlignment="1">
      <alignment vertical="center"/>
    </xf>
    <xf numFmtId="0" fontId="100" fillId="37" borderId="10" xfId="0" applyFont="1" applyFill="1" applyBorder="1" applyAlignment="1">
      <alignment horizontal="center" vertical="center"/>
    </xf>
    <xf numFmtId="0" fontId="97" fillId="37" borderId="12" xfId="0" applyFont="1" applyFill="1" applyBorder="1" applyAlignment="1">
      <alignment horizontal="center" vertical="center"/>
    </xf>
    <xf numFmtId="0" fontId="100" fillId="37" borderId="11" xfId="0" applyFont="1" applyFill="1" applyBorder="1" applyAlignment="1">
      <alignment horizontal="center" vertical="center"/>
    </xf>
    <xf numFmtId="0" fontId="37" fillId="37" borderId="5" xfId="0" applyFont="1" applyFill="1" applyBorder="1" applyAlignment="1">
      <alignment vertical="center"/>
    </xf>
    <xf numFmtId="0" fontId="37" fillId="37" borderId="6" xfId="0" applyFont="1" applyFill="1" applyBorder="1" applyAlignment="1">
      <alignment vertical="center"/>
    </xf>
    <xf numFmtId="0" fontId="37" fillId="37" borderId="13" xfId="0" applyFont="1" applyFill="1" applyBorder="1" applyAlignment="1">
      <alignment vertical="center"/>
    </xf>
    <xf numFmtId="0" fontId="150" fillId="37" borderId="0" xfId="0" applyFont="1" applyFill="1" applyBorder="1" applyAlignment="1">
      <alignment vertical="center"/>
    </xf>
    <xf numFmtId="0" fontId="36" fillId="37" borderId="13" xfId="0" applyFont="1" applyFill="1" applyBorder="1" applyAlignment="1">
      <alignment vertical="center"/>
    </xf>
    <xf numFmtId="0" fontId="142" fillId="37" borderId="0" xfId="0" applyFont="1" applyFill="1" applyBorder="1" applyAlignment="1"/>
    <xf numFmtId="0" fontId="143" fillId="37" borderId="0" xfId="0" applyFont="1" applyFill="1" applyBorder="1" applyAlignment="1"/>
    <xf numFmtId="0" fontId="36" fillId="37" borderId="13" xfId="0" applyFont="1" applyFill="1" applyBorder="1" applyAlignment="1">
      <alignment horizontal="center" vertical="center"/>
    </xf>
    <xf numFmtId="0" fontId="144" fillId="37" borderId="82" xfId="0" applyFont="1" applyFill="1" applyBorder="1"/>
    <xf numFmtId="0" fontId="37" fillId="37" borderId="13" xfId="0" applyFont="1" applyFill="1" applyBorder="1" applyAlignment="1">
      <alignment horizontal="left" vertical="center"/>
    </xf>
    <xf numFmtId="165" fontId="97" fillId="31" borderId="0" xfId="1" applyFont="1" applyFill="1" applyBorder="1" applyAlignment="1">
      <alignment vertical="center"/>
    </xf>
    <xf numFmtId="165" fontId="97" fillId="37" borderId="12" xfId="1" applyFont="1" applyFill="1" applyBorder="1" applyAlignment="1">
      <alignment vertical="center"/>
    </xf>
    <xf numFmtId="165" fontId="97" fillId="38" borderId="14" xfId="1" applyFont="1" applyFill="1" applyBorder="1" applyAlignment="1">
      <alignment vertical="center"/>
    </xf>
    <xf numFmtId="165" fontId="97" fillId="38" borderId="3" xfId="1" applyFont="1" applyFill="1" applyBorder="1" applyAlignment="1">
      <alignment vertical="center"/>
    </xf>
    <xf numFmtId="165" fontId="97" fillId="29" borderId="8" xfId="1" applyFont="1" applyFill="1" applyBorder="1" applyAlignment="1">
      <alignment vertical="center"/>
    </xf>
    <xf numFmtId="165" fontId="97" fillId="29" borderId="11" xfId="1" applyFont="1" applyFill="1" applyBorder="1" applyAlignment="1">
      <alignment vertical="center"/>
    </xf>
    <xf numFmtId="165" fontId="97" fillId="29" borderId="14" xfId="1" applyFont="1" applyFill="1" applyBorder="1" applyAlignment="1">
      <alignment vertical="center"/>
    </xf>
    <xf numFmtId="165" fontId="97" fillId="29" borderId="3" xfId="1" applyFont="1" applyFill="1" applyBorder="1" applyAlignment="1">
      <alignment vertical="center"/>
    </xf>
    <xf numFmtId="165" fontId="97" fillId="29" borderId="83" xfId="1" applyFont="1" applyFill="1" applyBorder="1" applyAlignment="1">
      <alignment vertical="center"/>
    </xf>
    <xf numFmtId="0" fontId="15" fillId="37" borderId="60" xfId="0" applyFont="1" applyFill="1" applyBorder="1" applyAlignment="1">
      <alignment vertical="center" wrapText="1"/>
    </xf>
    <xf numFmtId="0" fontId="15" fillId="37" borderId="59" xfId="0" applyFont="1" applyFill="1" applyBorder="1" applyAlignment="1">
      <alignment vertical="center" wrapText="1"/>
    </xf>
    <xf numFmtId="0" fontId="15" fillId="37" borderId="61" xfId="0" applyFont="1" applyFill="1" applyBorder="1" applyAlignment="1">
      <alignment vertical="center" wrapText="1"/>
    </xf>
    <xf numFmtId="0" fontId="15" fillId="37" borderId="67" xfId="0" applyFont="1" applyFill="1" applyBorder="1" applyAlignment="1">
      <alignment horizontal="center" vertical="center" wrapText="1"/>
    </xf>
    <xf numFmtId="165" fontId="15" fillId="38" borderId="193" xfId="1" applyFont="1" applyFill="1" applyBorder="1" applyAlignment="1">
      <alignment horizontal="right" vertical="center" wrapText="1"/>
    </xf>
    <xf numFmtId="165" fontId="15" fillId="38" borderId="194" xfId="1" applyFont="1" applyFill="1" applyBorder="1" applyAlignment="1">
      <alignment horizontal="right" vertical="center" wrapText="1"/>
    </xf>
    <xf numFmtId="10" fontId="15" fillId="38" borderId="83" xfId="0" applyNumberFormat="1" applyFont="1" applyFill="1" applyBorder="1" applyAlignment="1">
      <alignment horizontal="right" vertical="center" wrapText="1"/>
    </xf>
    <xf numFmtId="165" fontId="15" fillId="38" borderId="83" xfId="1" applyFont="1" applyFill="1" applyBorder="1" applyAlignment="1">
      <alignment horizontal="right" vertical="center" wrapText="1"/>
    </xf>
    <xf numFmtId="0" fontId="171" fillId="0" borderId="0" xfId="0" applyFont="1"/>
    <xf numFmtId="0" fontId="171" fillId="0" borderId="0" xfId="0" applyFont="1" applyAlignment="1">
      <alignment vertical="top"/>
    </xf>
    <xf numFmtId="0" fontId="154" fillId="0" borderId="0" xfId="0" quotePrefix="1" applyFont="1" applyAlignment="1">
      <alignment vertical="top"/>
    </xf>
    <xf numFmtId="0" fontId="154" fillId="0" borderId="0" xfId="0" applyFont="1" applyAlignment="1">
      <alignment vertical="top"/>
    </xf>
    <xf numFmtId="0" fontId="171" fillId="0" borderId="0" xfId="0" applyFont="1" applyAlignment="1">
      <alignment vertical="center"/>
    </xf>
    <xf numFmtId="0" fontId="184" fillId="0" borderId="0" xfId="0" applyFont="1"/>
    <xf numFmtId="0" fontId="145" fillId="0" borderId="0" xfId="0" applyFont="1"/>
    <xf numFmtId="0" fontId="145" fillId="0" borderId="0" xfId="0" applyFont="1" applyAlignment="1">
      <alignment vertical="top"/>
    </xf>
    <xf numFmtId="0" fontId="171" fillId="0" borderId="0" xfId="0" applyFont="1" applyBorder="1"/>
    <xf numFmtId="0" fontId="171" fillId="0" borderId="0" xfId="0" applyFont="1" applyAlignment="1">
      <alignment horizontal="left" vertical="center"/>
    </xf>
    <xf numFmtId="0" fontId="154" fillId="0" borderId="0" xfId="0" applyFont="1" applyAlignment="1">
      <alignment horizontal="center" vertical="top"/>
    </xf>
    <xf numFmtId="0" fontId="153" fillId="0" borderId="0" xfId="0" applyFont="1" applyAlignment="1">
      <alignment horizontal="center" vertical="top"/>
    </xf>
    <xf numFmtId="0" fontId="153" fillId="0" borderId="0" xfId="0" applyFont="1" applyAlignment="1">
      <alignment vertical="top" wrapText="1"/>
    </xf>
    <xf numFmtId="0" fontId="175" fillId="0" borderId="0" xfId="0" applyFont="1" applyAlignment="1">
      <alignment vertical="center"/>
    </xf>
    <xf numFmtId="0" fontId="176" fillId="0" borderId="0" xfId="0" applyFont="1" applyAlignment="1">
      <alignment vertical="top"/>
    </xf>
    <xf numFmtId="0" fontId="174" fillId="0" borderId="0" xfId="0" applyFont="1"/>
    <xf numFmtId="0" fontId="174" fillId="0" borderId="0" xfId="0" applyFont="1" applyAlignment="1">
      <alignment vertical="top"/>
    </xf>
    <xf numFmtId="0" fontId="174" fillId="0" borderId="0" xfId="0" applyFont="1" applyAlignment="1">
      <alignment horizontal="center"/>
    </xf>
    <xf numFmtId="0" fontId="174" fillId="0" borderId="0" xfId="0" applyFont="1" applyAlignment="1">
      <alignment horizontal="center" vertical="top"/>
    </xf>
    <xf numFmtId="0" fontId="154" fillId="0" borderId="0" xfId="0" applyFont="1" applyAlignment="1">
      <alignment horizontal="center" vertical="top" wrapText="1"/>
    </xf>
    <xf numFmtId="0" fontId="176" fillId="0" borderId="0" xfId="0" applyFont="1" applyFill="1"/>
    <xf numFmtId="0" fontId="108" fillId="0" borderId="0" xfId="0" applyFont="1" applyAlignment="1">
      <alignment horizontal="center" vertical="top"/>
    </xf>
    <xf numFmtId="0" fontId="176" fillId="0" borderId="0" xfId="0" applyFont="1" applyFill="1" applyAlignment="1">
      <alignment vertical="top"/>
    </xf>
    <xf numFmtId="0" fontId="157" fillId="0" borderId="0" xfId="0" applyFont="1" applyFill="1" applyAlignment="1">
      <alignment vertical="top"/>
    </xf>
    <xf numFmtId="0" fontId="174" fillId="0" borderId="0" xfId="0" applyFont="1" applyFill="1" applyAlignment="1">
      <alignment horizontal="justify" vertical="top" wrapText="1"/>
    </xf>
    <xf numFmtId="0" fontId="174" fillId="0" borderId="0" xfId="0" quotePrefix="1" applyFont="1" applyFill="1" applyAlignment="1">
      <alignment horizontal="right" vertical="top"/>
    </xf>
    <xf numFmtId="0" fontId="153" fillId="0" borderId="0" xfId="0" quotePrefix="1" applyFont="1" applyAlignment="1">
      <alignment horizontal="right" vertical="top"/>
    </xf>
    <xf numFmtId="0" fontId="153" fillId="0" borderId="0" xfId="0" quotePrefix="1" applyFont="1" applyAlignment="1">
      <alignment horizontal="right"/>
    </xf>
    <xf numFmtId="0" fontId="153" fillId="0" borderId="0" xfId="0" applyFont="1" applyAlignment="1">
      <alignment horizontal="right" vertical="top"/>
    </xf>
    <xf numFmtId="0" fontId="153" fillId="0" borderId="0" xfId="0" applyFont="1" applyAlignment="1">
      <alignment horizontal="right" vertical="top" wrapText="1"/>
    </xf>
    <xf numFmtId="0" fontId="176" fillId="0" borderId="0" xfId="0" applyFont="1" applyAlignment="1">
      <alignment horizontal="right" vertical="top" wrapText="1"/>
    </xf>
    <xf numFmtId="0" fontId="174" fillId="0" borderId="0" xfId="0" quotePrefix="1" applyFont="1" applyAlignment="1">
      <alignment horizontal="right" vertical="top"/>
    </xf>
    <xf numFmtId="0" fontId="174" fillId="0" borderId="0" xfId="0" applyFont="1" applyAlignment="1">
      <alignment horizontal="right"/>
    </xf>
    <xf numFmtId="0" fontId="173" fillId="0" borderId="0" xfId="0" applyFont="1" applyBorder="1" applyAlignment="1">
      <alignment horizontal="right"/>
    </xf>
    <xf numFmtId="0" fontId="176" fillId="0" borderId="0" xfId="0" quotePrefix="1" applyFont="1" applyFill="1" applyAlignment="1">
      <alignment horizontal="right" vertical="top"/>
    </xf>
    <xf numFmtId="0" fontId="176" fillId="0" borderId="0" xfId="0" applyFont="1" applyFill="1" applyAlignment="1">
      <alignment horizontal="right"/>
    </xf>
    <xf numFmtId="0" fontId="153" fillId="0" borderId="0" xfId="0" applyFont="1" applyAlignment="1">
      <alignment horizontal="center"/>
    </xf>
    <xf numFmtId="0" fontId="188" fillId="0" borderId="3" xfId="0" applyFont="1" applyBorder="1" applyAlignment="1">
      <alignment horizontal="center" vertical="top"/>
    </xf>
    <xf numFmtId="0" fontId="188" fillId="0" borderId="3" xfId="0" applyFont="1" applyBorder="1" applyAlignment="1">
      <alignment vertical="top" wrapText="1"/>
    </xf>
    <xf numFmtId="10" fontId="188" fillId="32" borderId="3" xfId="0" applyNumberFormat="1" applyFont="1" applyFill="1" applyBorder="1" applyAlignment="1">
      <alignment vertical="top"/>
    </xf>
    <xf numFmtId="0" fontId="188" fillId="0" borderId="3" xfId="0" applyFont="1" applyBorder="1" applyAlignment="1">
      <alignment horizontal="center" vertical="top" wrapText="1"/>
    </xf>
    <xf numFmtId="10" fontId="188" fillId="32" borderId="3" xfId="0" applyNumberFormat="1" applyFont="1" applyFill="1" applyBorder="1" applyAlignment="1">
      <alignment vertical="top" wrapText="1"/>
    </xf>
    <xf numFmtId="10" fontId="187" fillId="33" borderId="3" xfId="0" applyNumberFormat="1" applyFont="1" applyFill="1" applyBorder="1" applyAlignment="1">
      <alignment horizontal="right" vertical="center"/>
    </xf>
    <xf numFmtId="10" fontId="190" fillId="33" borderId="3" xfId="0" applyNumberFormat="1" applyFont="1" applyFill="1" applyBorder="1" applyAlignment="1">
      <alignment horizontal="right" vertical="center"/>
    </xf>
    <xf numFmtId="0" fontId="187" fillId="6" borderId="3" xfId="0" applyFont="1" applyFill="1" applyBorder="1" applyAlignment="1">
      <alignment horizontal="center" vertical="center"/>
    </xf>
    <xf numFmtId="37" fontId="187" fillId="6" borderId="10" xfId="0" applyNumberFormat="1" applyFont="1" applyFill="1" applyBorder="1" applyAlignment="1">
      <alignment horizontal="center" wrapText="1"/>
    </xf>
    <xf numFmtId="37" fontId="187" fillId="6" borderId="11" xfId="0" applyNumberFormat="1" applyFont="1" applyFill="1" applyBorder="1" applyAlignment="1">
      <alignment horizontal="center" vertical="top" wrapText="1"/>
    </xf>
    <xf numFmtId="0" fontId="117" fillId="6" borderId="3" xfId="0" applyFont="1" applyFill="1" applyBorder="1" applyAlignment="1">
      <alignment horizontal="center" vertical="center" wrapText="1"/>
    </xf>
    <xf numFmtId="0" fontId="117" fillId="6" borderId="3" xfId="0" applyFont="1" applyFill="1" applyBorder="1" applyAlignment="1">
      <alignment horizontal="center" vertical="center"/>
    </xf>
    <xf numFmtId="0" fontId="153" fillId="0" borderId="0" xfId="0" applyFont="1" applyAlignment="1">
      <alignment horizontal="justify" vertical="top" wrapText="1"/>
    </xf>
    <xf numFmtId="0" fontId="0" fillId="0" borderId="0" xfId="0" applyAlignment="1">
      <alignment horizontal="justify" vertical="top" wrapText="1"/>
    </xf>
    <xf numFmtId="0" fontId="174" fillId="0" borderId="0" xfId="0" applyFont="1" applyFill="1" applyAlignment="1">
      <alignment horizontal="justify" vertical="top" wrapText="1"/>
    </xf>
    <xf numFmtId="0" fontId="153" fillId="0" borderId="0" xfId="0" applyFont="1" applyFill="1" applyAlignment="1">
      <alignment horizontal="justify" vertical="top" wrapText="1"/>
    </xf>
    <xf numFmtId="0" fontId="9" fillId="0" borderId="0" xfId="0" applyFont="1" applyBorder="1" applyAlignment="1">
      <alignment wrapText="1"/>
    </xf>
    <xf numFmtId="0" fontId="191" fillId="0" borderId="0" xfId="0" applyFont="1" applyAlignment="1">
      <alignment horizontal="left" vertical="top" wrapText="1"/>
    </xf>
    <xf numFmtId="0" fontId="192" fillId="0" borderId="0" xfId="0" applyFont="1" applyAlignment="1">
      <alignment wrapText="1"/>
    </xf>
    <xf numFmtId="0" fontId="193" fillId="0" borderId="0" xfId="0" applyFont="1" applyAlignment="1">
      <alignment vertical="center" wrapText="1"/>
    </xf>
    <xf numFmtId="0" fontId="194" fillId="0" borderId="0" xfId="0" applyFont="1" applyAlignment="1">
      <alignment vertical="center" wrapText="1"/>
    </xf>
    <xf numFmtId="0" fontId="196" fillId="0" borderId="0" xfId="0" applyFont="1" applyAlignment="1">
      <alignment vertical="center" wrapText="1"/>
    </xf>
    <xf numFmtId="37" fontId="190" fillId="6" borderId="11" xfId="0" applyNumberFormat="1" applyFont="1" applyFill="1" applyBorder="1" applyAlignment="1">
      <alignment horizontal="center" vertical="center" wrapText="1"/>
    </xf>
    <xf numFmtId="0" fontId="190" fillId="0" borderId="3" xfId="0" applyFont="1" applyBorder="1" applyAlignment="1">
      <alignment horizontal="center" vertical="center" wrapText="1"/>
    </xf>
    <xf numFmtId="0" fontId="153" fillId="0" borderId="0" xfId="0" applyFont="1" applyFill="1" applyBorder="1" applyAlignment="1">
      <alignment vertical="center"/>
    </xf>
    <xf numFmtId="0" fontId="197" fillId="0" borderId="0" xfId="0" applyFont="1" applyFill="1" applyBorder="1" applyAlignment="1">
      <alignment horizontal="center" vertical="center"/>
    </xf>
    <xf numFmtId="3" fontId="197" fillId="0" borderId="0" xfId="0" applyNumberFormat="1" applyFont="1" applyFill="1" applyBorder="1" applyAlignment="1">
      <alignment horizontal="right" vertical="center"/>
    </xf>
    <xf numFmtId="10" fontId="197" fillId="0" borderId="0" xfId="0" applyNumberFormat="1" applyFont="1" applyFill="1" applyBorder="1" applyAlignment="1">
      <alignment horizontal="center" vertical="center"/>
    </xf>
    <xf numFmtId="0" fontId="177" fillId="0" borderId="0" xfId="0" applyFont="1" applyAlignment="1">
      <alignment vertical="center" wrapText="1"/>
    </xf>
    <xf numFmtId="0" fontId="198" fillId="0" borderId="0" xfId="0" applyFont="1" applyFill="1" applyAlignment="1">
      <alignment vertical="center" wrapText="1"/>
    </xf>
    <xf numFmtId="0" fontId="199" fillId="0" borderId="0" xfId="0" applyFont="1" applyFill="1" applyAlignment="1">
      <alignment vertical="center" wrapText="1"/>
    </xf>
    <xf numFmtId="0" fontId="179" fillId="0" borderId="0" xfId="0" applyFont="1" applyBorder="1" applyAlignment="1">
      <alignment vertical="center" wrapText="1"/>
    </xf>
    <xf numFmtId="0" fontId="187" fillId="6" borderId="10" xfId="0" applyFont="1" applyFill="1" applyBorder="1" applyAlignment="1">
      <alignment horizontal="center" wrapText="1"/>
    </xf>
    <xf numFmtId="0" fontId="197" fillId="0" borderId="0" xfId="0" applyFont="1" applyFill="1" applyBorder="1" applyAlignment="1">
      <alignment vertical="center"/>
    </xf>
    <xf numFmtId="0" fontId="187" fillId="6" borderId="12" xfId="0" applyFont="1" applyFill="1" applyBorder="1" applyAlignment="1">
      <alignment horizontal="center" vertical="top" wrapText="1"/>
    </xf>
    <xf numFmtId="0" fontId="187" fillId="6" borderId="11" xfId="0" applyFont="1" applyFill="1" applyBorder="1" applyAlignment="1">
      <alignment horizontal="center" vertical="top"/>
    </xf>
    <xf numFmtId="0" fontId="172" fillId="0" borderId="3" xfId="0" applyFont="1" applyBorder="1" applyAlignment="1">
      <alignment horizontal="center" vertical="top"/>
    </xf>
    <xf numFmtId="0" fontId="172" fillId="0" borderId="3" xfId="0" applyFont="1" applyBorder="1" applyAlignment="1">
      <alignment vertical="top" wrapText="1"/>
    </xf>
    <xf numFmtId="10" fontId="172" fillId="32" borderId="3" xfId="0" applyNumberFormat="1" applyFont="1" applyFill="1" applyBorder="1" applyAlignment="1">
      <alignment vertical="top"/>
    </xf>
    <xf numFmtId="10" fontId="200" fillId="0" borderId="0" xfId="0" applyNumberFormat="1" applyFont="1" applyFill="1" applyBorder="1" applyAlignment="1">
      <alignment horizontal="center" vertical="top"/>
    </xf>
    <xf numFmtId="0" fontId="172" fillId="0" borderId="3" xfId="0" applyFont="1" applyBorder="1" applyAlignment="1">
      <alignment horizontal="center" vertical="top" wrapText="1"/>
    </xf>
    <xf numFmtId="10" fontId="201" fillId="0" borderId="0" xfId="0" applyNumberFormat="1" applyFont="1" applyFill="1" applyBorder="1" applyAlignment="1">
      <alignment horizontal="center" vertical="center"/>
    </xf>
    <xf numFmtId="0" fontId="192" fillId="0" borderId="0" xfId="0" applyFont="1"/>
    <xf numFmtId="0" fontId="202" fillId="0" borderId="0" xfId="0" applyFont="1" applyAlignment="1">
      <alignment vertical="center" wrapText="1"/>
    </xf>
    <xf numFmtId="0" fontId="178" fillId="0" borderId="0" xfId="0" applyFont="1" applyBorder="1" applyAlignment="1">
      <alignment vertical="center" wrapText="1"/>
    </xf>
    <xf numFmtId="0" fontId="187" fillId="0" borderId="82" xfId="0" applyFont="1" applyFill="1" applyBorder="1" applyAlignment="1">
      <alignment horizontal="center" vertical="center"/>
    </xf>
    <xf numFmtId="10" fontId="172" fillId="0" borderId="82" xfId="0" applyNumberFormat="1" applyFont="1" applyFill="1" applyBorder="1" applyAlignment="1">
      <alignment horizontal="right" vertical="center"/>
    </xf>
    <xf numFmtId="10" fontId="172" fillId="33" borderId="3" xfId="0" applyNumberFormat="1" applyFont="1" applyFill="1" applyBorder="1" applyAlignment="1">
      <alignment vertical="top"/>
    </xf>
    <xf numFmtId="3" fontId="187" fillId="0" borderId="82" xfId="0" applyNumberFormat="1" applyFont="1" applyFill="1" applyBorder="1" applyAlignment="1">
      <alignment horizontal="right" vertical="center"/>
    </xf>
    <xf numFmtId="0" fontId="153" fillId="0" borderId="0" xfId="0" applyFont="1" applyAlignment="1">
      <alignment vertical="center" wrapText="1"/>
    </xf>
    <xf numFmtId="0" fontId="191" fillId="0" borderId="0" xfId="0" applyFont="1" applyAlignment="1">
      <alignment vertical="center" wrapText="1"/>
    </xf>
    <xf numFmtId="0" fontId="178" fillId="0" borderId="0" xfId="0" applyFont="1" applyFill="1" applyBorder="1" applyAlignment="1">
      <alignment vertical="center" wrapText="1"/>
    </xf>
    <xf numFmtId="0" fontId="201" fillId="0" borderId="82" xfId="0" applyFont="1" applyFill="1" applyBorder="1" applyAlignment="1">
      <alignment horizontal="center" vertical="center"/>
    </xf>
    <xf numFmtId="10" fontId="200" fillId="0" borderId="82" xfId="0" applyNumberFormat="1" applyFont="1" applyFill="1" applyBorder="1" applyAlignment="1">
      <alignment horizontal="right" vertical="center"/>
    </xf>
    <xf numFmtId="0" fontId="191" fillId="0" borderId="0" xfId="0" applyFont="1" applyAlignment="1">
      <alignment vertical="top" wrapText="1"/>
    </xf>
    <xf numFmtId="10" fontId="200" fillId="0" borderId="82" xfId="0" applyNumberFormat="1" applyFont="1" applyFill="1" applyBorder="1" applyAlignment="1">
      <alignment horizontal="right" vertical="top" wrapText="1"/>
    </xf>
    <xf numFmtId="10" fontId="201" fillId="0" borderId="82" xfId="0" applyNumberFormat="1" applyFont="1" applyFill="1" applyBorder="1" applyAlignment="1">
      <alignment horizontal="right" vertical="center"/>
    </xf>
    <xf numFmtId="10" fontId="193" fillId="0" borderId="82" xfId="0" applyNumberFormat="1" applyFont="1" applyFill="1" applyBorder="1" applyAlignment="1">
      <alignment horizontal="right" vertical="center"/>
    </xf>
    <xf numFmtId="0" fontId="204" fillId="0" borderId="0" xfId="0" applyFont="1" applyAlignment="1">
      <alignment vertical="center" wrapText="1"/>
    </xf>
    <xf numFmtId="0" fontId="205" fillId="0" borderId="0" xfId="0" applyFont="1" applyAlignment="1">
      <alignment vertical="center" wrapText="1"/>
    </xf>
    <xf numFmtId="0" fontId="205" fillId="0" borderId="0" xfId="0" applyFont="1" applyFill="1" applyBorder="1" applyAlignment="1">
      <alignment vertical="center" wrapText="1"/>
    </xf>
    <xf numFmtId="0" fontId="153" fillId="0" borderId="0" xfId="0" applyFont="1" applyAlignment="1">
      <alignment wrapText="1"/>
    </xf>
    <xf numFmtId="0" fontId="177" fillId="0" borderId="0" xfId="0" applyFont="1" applyAlignment="1">
      <alignment horizontal="justify" vertical="top" wrapText="1"/>
    </xf>
    <xf numFmtId="0" fontId="191" fillId="0" borderId="0" xfId="0" applyFont="1" applyAlignment="1">
      <alignment horizontal="justify" vertical="top" wrapText="1"/>
    </xf>
    <xf numFmtId="0" fontId="128" fillId="17" borderId="0" xfId="0" applyFont="1" applyFill="1" applyBorder="1" applyAlignment="1">
      <alignment vertical="top"/>
    </xf>
    <xf numFmtId="10" fontId="187" fillId="33" borderId="3" xfId="0" applyNumberFormat="1" applyFont="1" applyFill="1" applyBorder="1" applyAlignment="1">
      <alignment vertical="center"/>
    </xf>
    <xf numFmtId="3" fontId="208" fillId="0" borderId="0" xfId="0" applyNumberFormat="1" applyFont="1"/>
    <xf numFmtId="15" fontId="153" fillId="0" borderId="0" xfId="0" applyNumberFormat="1" applyFont="1"/>
    <xf numFmtId="0" fontId="176" fillId="0" borderId="0" xfId="0" applyFont="1" applyAlignment="1"/>
    <xf numFmtId="0" fontId="209" fillId="0" borderId="0" xfId="0" applyFont="1" applyAlignment="1">
      <alignment vertical="top" wrapText="1"/>
    </xf>
    <xf numFmtId="0" fontId="169" fillId="0" borderId="0" xfId="0" applyFont="1" applyAlignment="1"/>
    <xf numFmtId="0" fontId="210" fillId="0" borderId="0" xfId="0" applyFont="1" applyAlignment="1"/>
    <xf numFmtId="0" fontId="153" fillId="0" borderId="0" xfId="0" applyFont="1" applyAlignment="1"/>
    <xf numFmtId="0" fontId="176" fillId="0" borderId="0" xfId="0" applyFont="1" applyAlignment="1">
      <alignment horizontal="justify" vertical="top" wrapText="1"/>
    </xf>
    <xf numFmtId="0" fontId="173" fillId="0" borderId="0" xfId="0" applyFont="1" applyAlignment="1"/>
    <xf numFmtId="0" fontId="175" fillId="0" borderId="0" xfId="0" applyFont="1" applyAlignment="1"/>
    <xf numFmtId="0" fontId="173" fillId="0" borderId="0" xfId="0" applyFont="1" applyAlignment="1">
      <alignment horizontal="left"/>
    </xf>
    <xf numFmtId="0" fontId="153" fillId="6" borderId="3" xfId="0" applyFont="1" applyFill="1" applyBorder="1" applyAlignment="1">
      <alignment horizontal="center" vertical="center"/>
    </xf>
    <xf numFmtId="15" fontId="153" fillId="6" borderId="3" xfId="0" applyNumberFormat="1" applyFont="1" applyFill="1" applyBorder="1" applyAlignment="1">
      <alignment horizontal="center" vertical="center"/>
    </xf>
    <xf numFmtId="0" fontId="169" fillId="0" borderId="0" xfId="0" applyFont="1" applyAlignment="1">
      <alignment vertical="top"/>
    </xf>
    <xf numFmtId="0" fontId="209" fillId="0" borderId="0" xfId="0" applyFont="1" applyAlignment="1">
      <alignment horizontal="left" vertical="top" wrapText="1"/>
    </xf>
    <xf numFmtId="0" fontId="172" fillId="0" borderId="132" xfId="0" applyFont="1" applyBorder="1" applyAlignment="1">
      <alignment horizontal="center"/>
    </xf>
    <xf numFmtId="0" fontId="172" fillId="0" borderId="86" xfId="0" applyFont="1" applyBorder="1" applyAlignment="1">
      <alignment horizontal="center"/>
    </xf>
    <xf numFmtId="0" fontId="172" fillId="0" borderId="133" xfId="0" applyFont="1" applyBorder="1" applyAlignment="1">
      <alignment horizontal="center"/>
    </xf>
    <xf numFmtId="0" fontId="169" fillId="0" borderId="0" xfId="0" applyFont="1" applyBorder="1" applyAlignment="1">
      <alignment vertical="top"/>
    </xf>
    <xf numFmtId="0" fontId="153" fillId="0" borderId="0" xfId="0" applyFont="1" applyBorder="1" applyAlignment="1"/>
    <xf numFmtId="0" fontId="209" fillId="0" borderId="0" xfId="0" applyFont="1" applyBorder="1" applyAlignment="1">
      <alignment horizontal="left" vertical="top" wrapText="1"/>
    </xf>
    <xf numFmtId="0" fontId="172" fillId="0" borderId="3" xfId="0" applyFont="1" applyFill="1" applyBorder="1" applyAlignment="1">
      <alignment horizontal="center" vertical="center"/>
    </xf>
    <xf numFmtId="165" fontId="172" fillId="0" borderId="3" xfId="1" applyFont="1" applyFill="1" applyBorder="1" applyAlignment="1">
      <alignment vertical="center"/>
    </xf>
    <xf numFmtId="0" fontId="172" fillId="0" borderId="3" xfId="0" applyFont="1" applyBorder="1" applyAlignment="1">
      <alignment horizontal="center" vertical="center"/>
    </xf>
    <xf numFmtId="165" fontId="172" fillId="0" borderId="3" xfId="1" applyFont="1" applyBorder="1" applyAlignment="1">
      <alignment vertical="center"/>
    </xf>
    <xf numFmtId="0" fontId="153" fillId="0" borderId="0" xfId="0" quotePrefix="1" applyFont="1" applyAlignment="1"/>
    <xf numFmtId="0" fontId="173" fillId="0" borderId="0" xfId="0" applyFont="1" applyBorder="1" applyAlignment="1"/>
    <xf numFmtId="0" fontId="197" fillId="9" borderId="0" xfId="0" applyFont="1" applyFill="1" applyBorder="1" applyAlignment="1">
      <alignment vertical="center"/>
    </xf>
    <xf numFmtId="165" fontId="211" fillId="9" borderId="0" xfId="1" applyFont="1" applyFill="1" applyBorder="1" applyAlignment="1"/>
    <xf numFmtId="10" fontId="211" fillId="9" borderId="0" xfId="0" applyNumberFormat="1" applyFont="1" applyFill="1" applyBorder="1" applyAlignment="1"/>
    <xf numFmtId="0" fontId="153" fillId="0" borderId="0" xfId="0" applyFont="1" applyBorder="1"/>
    <xf numFmtId="0" fontId="188" fillId="9" borderId="0" xfId="0" applyFont="1" applyFill="1" applyBorder="1" applyAlignment="1"/>
    <xf numFmtId="165" fontId="197" fillId="9" borderId="0" xfId="0" applyNumberFormat="1" applyFont="1" applyFill="1" applyBorder="1" applyAlignment="1"/>
    <xf numFmtId="0" fontId="172" fillId="0" borderId="3" xfId="0" applyFont="1" applyBorder="1" applyAlignment="1">
      <alignment horizontal="center"/>
    </xf>
    <xf numFmtId="0" fontId="153" fillId="0" borderId="0" xfId="0" applyFont="1" applyFill="1" applyBorder="1" applyAlignment="1">
      <alignment vertical="top"/>
    </xf>
    <xf numFmtId="15" fontId="187" fillId="2" borderId="3" xfId="0" applyNumberFormat="1" applyFont="1" applyFill="1" applyBorder="1" applyAlignment="1">
      <alignment horizontal="center" vertical="center" wrapText="1"/>
    </xf>
    <xf numFmtId="15" fontId="187" fillId="2" borderId="3" xfId="0" applyNumberFormat="1" applyFont="1" applyFill="1" applyBorder="1" applyAlignment="1">
      <alignment horizontal="center" vertical="center"/>
    </xf>
    <xf numFmtId="0" fontId="187" fillId="0" borderId="3" xfId="0" applyFont="1" applyFill="1" applyBorder="1" applyAlignment="1">
      <alignment horizontal="center" vertical="center"/>
    </xf>
    <xf numFmtId="165" fontId="187" fillId="0" borderId="3" xfId="1" applyFont="1" applyFill="1" applyBorder="1" applyAlignment="1">
      <alignment horizontal="right" vertical="center"/>
    </xf>
    <xf numFmtId="0" fontId="172" fillId="0" borderId="3" xfId="0" applyFont="1" applyFill="1" applyBorder="1" applyAlignment="1">
      <alignment vertical="center"/>
    </xf>
    <xf numFmtId="0" fontId="172" fillId="0" borderId="3" xfId="0" applyFont="1" applyFill="1" applyBorder="1" applyAlignment="1">
      <alignment horizontal="left" vertical="center"/>
    </xf>
    <xf numFmtId="0" fontId="209" fillId="0" borderId="0" xfId="0" applyFont="1" applyAlignment="1">
      <alignment vertical="top" wrapText="1"/>
    </xf>
    <xf numFmtId="165" fontId="172" fillId="9" borderId="132" xfId="1" applyFont="1" applyFill="1" applyBorder="1" applyAlignment="1"/>
    <xf numFmtId="165" fontId="172" fillId="9" borderId="86" xfId="1" applyFont="1" applyFill="1" applyBorder="1" applyAlignment="1"/>
    <xf numFmtId="165" fontId="172" fillId="0" borderId="133" xfId="1" applyFont="1" applyBorder="1" applyAlignment="1"/>
    <xf numFmtId="0" fontId="153" fillId="0" borderId="0" xfId="0" applyFont="1" applyAlignment="1">
      <alignment horizontal="left"/>
    </xf>
    <xf numFmtId="0" fontId="211" fillId="0" borderId="0" xfId="0" applyFont="1" applyBorder="1" applyAlignment="1"/>
    <xf numFmtId="0" fontId="211" fillId="0" borderId="0" xfId="0" applyFont="1" applyBorder="1"/>
    <xf numFmtId="164" fontId="153" fillId="0" borderId="0" xfId="2" applyFont="1" applyBorder="1" applyAlignment="1"/>
    <xf numFmtId="10" fontId="211" fillId="0" borderId="0" xfId="0" applyNumberFormat="1" applyFont="1" applyBorder="1" applyAlignment="1"/>
    <xf numFmtId="165" fontId="211" fillId="0" borderId="0" xfId="1" applyFont="1" applyBorder="1" applyAlignment="1"/>
    <xf numFmtId="0" fontId="211" fillId="0" borderId="0" xfId="0" applyFont="1" applyFill="1" applyBorder="1" applyAlignment="1">
      <alignment horizontal="center"/>
    </xf>
    <xf numFmtId="0" fontId="211" fillId="0" borderId="0" xfId="0" applyFont="1" applyFill="1" applyBorder="1" applyAlignment="1"/>
    <xf numFmtId="164" fontId="211" fillId="0" borderId="0" xfId="2" applyFont="1" applyFill="1" applyBorder="1" applyAlignment="1"/>
    <xf numFmtId="15" fontId="197" fillId="0" borderId="0" xfId="0" applyNumberFormat="1" applyFont="1" applyFill="1" applyBorder="1" applyAlignment="1">
      <alignment horizontal="center" vertical="center"/>
    </xf>
    <xf numFmtId="15" fontId="197" fillId="0" borderId="0" xfId="0" applyNumberFormat="1" applyFont="1" applyFill="1" applyBorder="1" applyAlignment="1">
      <alignment vertical="center"/>
    </xf>
    <xf numFmtId="0" fontId="153" fillId="0" borderId="0" xfId="0" applyFont="1" applyFill="1" applyBorder="1" applyAlignment="1">
      <alignment horizontal="center"/>
    </xf>
    <xf numFmtId="15" fontId="187" fillId="6" borderId="3" xfId="0" applyNumberFormat="1" applyFont="1" applyFill="1" applyBorder="1" applyAlignment="1">
      <alignment horizontal="center" vertical="center" wrapText="1"/>
    </xf>
    <xf numFmtId="15" fontId="187" fillId="6" borderId="3" xfId="0" applyNumberFormat="1" applyFont="1" applyFill="1" applyBorder="1" applyAlignment="1">
      <alignment horizontal="center" vertical="center"/>
    </xf>
    <xf numFmtId="0" fontId="153" fillId="0" borderId="19" xfId="0" applyFont="1" applyBorder="1" applyAlignment="1"/>
    <xf numFmtId="0" fontId="153" fillId="0" borderId="16" xfId="0" quotePrefix="1" applyFont="1" applyBorder="1" applyAlignment="1"/>
    <xf numFmtId="0" fontId="153" fillId="0" borderId="136" xfId="0" quotePrefix="1" applyFont="1" applyBorder="1" applyAlignment="1"/>
    <xf numFmtId="0" fontId="153" fillId="0" borderId="138" xfId="0" applyFont="1" applyBorder="1" applyAlignment="1"/>
    <xf numFmtId="0" fontId="153" fillId="0" borderId="5" xfId="0" quotePrefix="1" applyFont="1" applyBorder="1" applyAlignment="1"/>
    <xf numFmtId="0" fontId="153" fillId="0" borderId="139" xfId="0" quotePrefix="1" applyFont="1" applyBorder="1" applyAlignment="1"/>
    <xf numFmtId="0" fontId="192" fillId="0" borderId="0" xfId="0" applyFont="1" applyFill="1" applyAlignment="1">
      <alignment vertical="top"/>
    </xf>
    <xf numFmtId="0" fontId="192" fillId="0" borderId="0" xfId="0" applyFont="1" applyFill="1" applyAlignment="1">
      <alignment horizontal="justify" vertical="top" wrapText="1"/>
    </xf>
    <xf numFmtId="0" fontId="192" fillId="0" borderId="0" xfId="0" applyFont="1" applyFill="1" applyAlignment="1">
      <alignment vertical="top" wrapText="1"/>
    </xf>
    <xf numFmtId="0" fontId="154" fillId="2" borderId="3" xfId="0" applyFont="1" applyFill="1" applyBorder="1" applyAlignment="1">
      <alignment vertical="center"/>
    </xf>
    <xf numFmtId="0" fontId="154" fillId="2" borderId="3" xfId="0" applyFont="1" applyFill="1" applyBorder="1" applyAlignment="1">
      <alignment horizontal="center" vertical="center"/>
    </xf>
    <xf numFmtId="0" fontId="154" fillId="2" borderId="3" xfId="0" applyFont="1" applyFill="1" applyBorder="1" applyAlignment="1">
      <alignment horizontal="center" vertical="center" wrapText="1"/>
    </xf>
    <xf numFmtId="0" fontId="154" fillId="2" borderId="3" xfId="0" applyFont="1" applyFill="1" applyBorder="1" applyAlignment="1">
      <alignment horizontal="center" vertical="center"/>
    </xf>
    <xf numFmtId="0" fontId="153" fillId="9" borderId="3" xfId="0" applyFont="1" applyFill="1" applyBorder="1" applyAlignment="1">
      <alignment horizontal="center"/>
    </xf>
    <xf numFmtId="0" fontId="153" fillId="9" borderId="3" xfId="0" applyFont="1" applyFill="1" applyBorder="1" applyAlignment="1">
      <alignment horizontal="left"/>
    </xf>
    <xf numFmtId="165" fontId="153" fillId="0" borderId="3" xfId="1" applyFont="1" applyFill="1" applyBorder="1" applyAlignment="1">
      <alignment horizontal="right"/>
    </xf>
    <xf numFmtId="0" fontId="153" fillId="9" borderId="3" xfId="0" applyFont="1" applyFill="1" applyBorder="1" applyAlignment="1">
      <alignment horizontal="center" vertical="center"/>
    </xf>
    <xf numFmtId="0" fontId="206" fillId="0" borderId="0" xfId="0" applyFont="1" applyAlignment="1">
      <alignment horizontal="justify" vertical="top" wrapText="1"/>
    </xf>
    <xf numFmtId="165" fontId="187" fillId="33" borderId="3" xfId="1" applyFont="1" applyFill="1" applyBorder="1" applyAlignment="1">
      <alignment horizontal="right" vertical="center"/>
    </xf>
    <xf numFmtId="0" fontId="154" fillId="6" borderId="3" xfId="0" applyFont="1" applyFill="1" applyBorder="1" applyAlignment="1">
      <alignment horizontal="center" vertical="center"/>
    </xf>
    <xf numFmtId="0" fontId="0" fillId="0" borderId="0" xfId="0" applyAlignment="1">
      <alignment horizontal="left" vertical="top" wrapText="1"/>
    </xf>
    <xf numFmtId="15" fontId="154" fillId="6" borderId="3" xfId="0" applyNumberFormat="1" applyFont="1" applyFill="1" applyBorder="1" applyAlignment="1">
      <alignment horizontal="center" vertical="center"/>
    </xf>
    <xf numFmtId="0" fontId="175" fillId="0" borderId="0" xfId="0" applyFont="1" applyAlignment="1">
      <alignment horizontal="justify" vertical="top" wrapText="1"/>
    </xf>
    <xf numFmtId="0" fontId="21" fillId="0" borderId="0" xfId="0" applyFont="1"/>
    <xf numFmtId="0" fontId="187" fillId="2" borderId="3" xfId="0" applyFont="1" applyFill="1" applyBorder="1" applyAlignment="1">
      <alignment horizontal="center" vertical="center"/>
    </xf>
    <xf numFmtId="165" fontId="172" fillId="0" borderId="3" xfId="1" applyFont="1" applyFill="1" applyBorder="1" applyAlignment="1"/>
    <xf numFmtId="0" fontId="172" fillId="0" borderId="14" xfId="0" applyFont="1" applyBorder="1" applyAlignment="1"/>
    <xf numFmtId="0" fontId="172" fillId="0" borderId="16" xfId="0" applyFont="1" applyBorder="1" applyAlignment="1"/>
    <xf numFmtId="165" fontId="153" fillId="34" borderId="3" xfId="1" applyFont="1" applyFill="1" applyBorder="1" applyAlignment="1">
      <alignment vertical="center" wrapText="1"/>
    </xf>
    <xf numFmtId="0" fontId="153" fillId="0" borderId="3" xfId="0" applyFont="1" applyBorder="1" applyAlignment="1">
      <alignment horizontal="center" vertical="center" wrapText="1"/>
    </xf>
    <xf numFmtId="0" fontId="209" fillId="0" borderId="0" xfId="0" applyFont="1" applyFill="1" applyAlignment="1">
      <alignment vertical="top" wrapText="1"/>
    </xf>
    <xf numFmtId="0" fontId="187" fillId="0" borderId="0" xfId="0" applyFont="1" applyFill="1" applyBorder="1" applyAlignment="1">
      <alignment horizontal="center" vertical="center"/>
    </xf>
    <xf numFmtId="165" fontId="187" fillId="0" borderId="0" xfId="1" applyFont="1" applyFill="1" applyBorder="1" applyAlignment="1">
      <alignment horizontal="center"/>
    </xf>
    <xf numFmtId="0" fontId="153" fillId="0" borderId="0" xfId="0" applyFont="1" applyFill="1" applyAlignment="1"/>
    <xf numFmtId="0" fontId="176" fillId="0" borderId="0" xfId="0" applyFont="1" applyFill="1" applyAlignment="1"/>
    <xf numFmtId="165" fontId="172" fillId="33" borderId="3" xfId="2" applyNumberFormat="1" applyFont="1" applyFill="1" applyBorder="1" applyAlignment="1"/>
    <xf numFmtId="165" fontId="187" fillId="0" borderId="3" xfId="0" applyNumberFormat="1" applyFont="1" applyFill="1" applyBorder="1" applyAlignment="1">
      <alignment vertical="center"/>
    </xf>
    <xf numFmtId="0" fontId="169" fillId="0" borderId="0" xfId="0" applyFont="1" applyFill="1" applyAlignment="1">
      <alignment vertical="top"/>
    </xf>
    <xf numFmtId="0" fontId="154" fillId="0" borderId="0" xfId="0" applyFont="1" applyFill="1" applyAlignment="1"/>
    <xf numFmtId="0" fontId="172" fillId="0" borderId="19" xfId="0" applyFont="1" applyBorder="1" applyAlignment="1"/>
    <xf numFmtId="0" fontId="172" fillId="0" borderId="16" xfId="0" quotePrefix="1" applyFont="1" applyBorder="1" applyAlignment="1"/>
    <xf numFmtId="0" fontId="172" fillId="0" borderId="136" xfId="0" quotePrefix="1" applyFont="1" applyBorder="1" applyAlignment="1"/>
    <xf numFmtId="0" fontId="172" fillId="0" borderId="138" xfId="0" applyFont="1" applyBorder="1" applyAlignment="1"/>
    <xf numFmtId="0" fontId="172" fillId="0" borderId="5" xfId="0" quotePrefix="1" applyFont="1" applyBorder="1" applyAlignment="1"/>
    <xf numFmtId="0" fontId="172" fillId="0" borderId="139" xfId="0" quotePrefix="1" applyFont="1" applyBorder="1" applyAlignment="1"/>
    <xf numFmtId="0" fontId="174" fillId="0" borderId="0" xfId="0" applyFont="1" applyFill="1" applyAlignment="1">
      <alignment vertical="top"/>
    </xf>
    <xf numFmtId="0" fontId="9" fillId="0" borderId="195" xfId="0" applyFont="1" applyBorder="1" applyAlignment="1">
      <alignment vertical="top"/>
    </xf>
    <xf numFmtId="0" fontId="0" fillId="0" borderId="195" xfId="0" applyBorder="1" applyAlignment="1">
      <alignment vertical="top"/>
    </xf>
    <xf numFmtId="0" fontId="9" fillId="0" borderId="199" xfId="0" applyFont="1" applyBorder="1" applyAlignment="1">
      <alignment vertical="top"/>
    </xf>
    <xf numFmtId="0" fontId="0" fillId="0" borderId="199" xfId="0" applyBorder="1" applyAlignment="1">
      <alignment vertical="top"/>
    </xf>
    <xf numFmtId="0" fontId="0" fillId="30" borderId="200" xfId="0" applyFill="1" applyBorder="1" applyAlignment="1">
      <alignment vertical="top" wrapText="1"/>
    </xf>
    <xf numFmtId="0" fontId="0" fillId="30" borderId="201" xfId="0" applyFill="1" applyBorder="1" applyAlignment="1">
      <alignment vertical="top" wrapText="1"/>
    </xf>
    <xf numFmtId="0" fontId="0" fillId="30" borderId="202" xfId="0" applyFill="1" applyBorder="1" applyAlignment="1">
      <alignment vertical="top" wrapText="1"/>
    </xf>
    <xf numFmtId="0" fontId="0" fillId="30" borderId="196" xfId="0" applyFill="1" applyBorder="1" applyAlignment="1">
      <alignment vertical="top" wrapText="1"/>
    </xf>
    <xf numFmtId="0" fontId="0" fillId="30" borderId="197" xfId="0" applyFill="1" applyBorder="1" applyAlignment="1">
      <alignment vertical="top" wrapText="1"/>
    </xf>
    <xf numFmtId="0" fontId="0" fillId="30" borderId="198" xfId="0" applyFill="1" applyBorder="1" applyAlignment="1">
      <alignment vertical="top" wrapText="1"/>
    </xf>
    <xf numFmtId="165" fontId="153" fillId="34" borderId="3" xfId="1" applyFont="1" applyFill="1" applyBorder="1" applyAlignment="1">
      <alignment horizontal="right"/>
    </xf>
    <xf numFmtId="0" fontId="0" fillId="13" borderId="0" xfId="0" applyFill="1" applyAlignment="1"/>
    <xf numFmtId="165" fontId="214" fillId="0" borderId="22" xfId="2" applyNumberFormat="1" applyFont="1" applyBorder="1" applyAlignment="1"/>
    <xf numFmtId="165" fontId="153" fillId="0" borderId="23" xfId="2" applyNumberFormat="1" applyFont="1" applyBorder="1" applyAlignment="1"/>
    <xf numFmtId="165" fontId="154" fillId="0" borderId="23" xfId="2" applyNumberFormat="1" applyFont="1" applyBorder="1" applyAlignment="1"/>
    <xf numFmtId="165" fontId="154" fillId="0" borderId="140" xfId="2" applyNumberFormat="1" applyFont="1" applyBorder="1" applyAlignment="1"/>
    <xf numFmtId="165" fontId="215" fillId="0" borderId="145" xfId="2" applyNumberFormat="1" applyFont="1" applyBorder="1" applyAlignment="1"/>
    <xf numFmtId="165" fontId="153" fillId="0" borderId="3" xfId="1" applyFont="1" applyFill="1" applyBorder="1" applyAlignment="1">
      <alignment horizontal="right" vertical="center"/>
    </xf>
    <xf numFmtId="165" fontId="172" fillId="34" borderId="3" xfId="2" applyNumberFormat="1" applyFont="1" applyFill="1" applyBorder="1" applyAlignment="1"/>
    <xf numFmtId="0" fontId="169" fillId="0" borderId="0" xfId="0" applyFont="1" applyFill="1" applyAlignment="1"/>
    <xf numFmtId="0" fontId="210" fillId="0" borderId="0" xfId="0" applyFont="1" applyFill="1" applyAlignment="1"/>
    <xf numFmtId="0" fontId="153" fillId="0" borderId="0" xfId="0" applyFont="1" applyFill="1" applyAlignment="1">
      <alignment vertical="top"/>
    </xf>
    <xf numFmtId="0" fontId="176" fillId="0" borderId="0" xfId="0" applyFont="1" applyFill="1" applyAlignment="1">
      <alignment horizontal="justify" vertical="top" wrapText="1"/>
    </xf>
    <xf numFmtId="0" fontId="173" fillId="0" borderId="0" xfId="0" applyFont="1" applyFill="1" applyAlignment="1">
      <alignment horizontal="left"/>
    </xf>
    <xf numFmtId="0" fontId="173" fillId="0" borderId="0" xfId="0" applyFont="1" applyFill="1" applyAlignment="1"/>
    <xf numFmtId="0" fontId="175" fillId="0" borderId="0" xfId="0" applyFont="1" applyFill="1" applyAlignment="1"/>
    <xf numFmtId="0" fontId="175" fillId="0" borderId="0" xfId="0" applyFont="1" applyFill="1" applyAlignment="1">
      <alignment vertical="top"/>
    </xf>
    <xf numFmtId="0" fontId="190" fillId="2" borderId="3" xfId="0" applyFont="1" applyFill="1" applyBorder="1" applyAlignment="1">
      <alignment horizontal="center" vertical="center"/>
    </xf>
    <xf numFmtId="15" fontId="190" fillId="2" borderId="3" xfId="0" applyNumberFormat="1" applyFont="1" applyFill="1" applyBorder="1" applyAlignment="1">
      <alignment horizontal="center" vertical="center"/>
    </xf>
    <xf numFmtId="0" fontId="188" fillId="0" borderId="3" xfId="0" applyFont="1" applyFill="1" applyBorder="1" applyAlignment="1">
      <alignment horizontal="center" vertical="center"/>
    </xf>
    <xf numFmtId="0" fontId="190" fillId="33" borderId="3" xfId="0" applyFont="1" applyFill="1" applyBorder="1" applyAlignment="1">
      <alignment horizontal="center" vertical="center"/>
    </xf>
    <xf numFmtId="165" fontId="190" fillId="33" borderId="3" xfId="1" applyFont="1" applyFill="1" applyBorder="1" applyAlignment="1">
      <alignment horizontal="right" vertical="center"/>
    </xf>
    <xf numFmtId="165" fontId="153" fillId="0" borderId="0" xfId="0" applyNumberFormat="1" applyFont="1" applyFill="1" applyAlignment="1">
      <alignment vertical="top"/>
    </xf>
    <xf numFmtId="0" fontId="176" fillId="9" borderId="0" xfId="0" applyFont="1" applyFill="1" applyAlignment="1">
      <alignment vertical="top"/>
    </xf>
    <xf numFmtId="165" fontId="154" fillId="0" borderId="0" xfId="0" applyNumberFormat="1" applyFont="1" applyFill="1" applyAlignment="1"/>
    <xf numFmtId="0" fontId="188" fillId="0" borderId="3" xfId="0" applyFont="1" applyFill="1" applyBorder="1" applyAlignment="1">
      <alignment horizontal="center" vertical="top"/>
    </xf>
    <xf numFmtId="165" fontId="188" fillId="34" borderId="3" xfId="1" applyFont="1" applyFill="1" applyBorder="1" applyAlignment="1">
      <alignment horizontal="right" vertical="center"/>
    </xf>
    <xf numFmtId="0" fontId="187" fillId="33" borderId="3" xfId="0" applyFont="1" applyFill="1" applyBorder="1" applyAlignment="1">
      <alignment horizontal="center" vertical="center"/>
    </xf>
    <xf numFmtId="165" fontId="172" fillId="34" borderId="3" xfId="1" applyFont="1" applyFill="1" applyBorder="1" applyAlignment="1">
      <alignment horizontal="right" vertical="center"/>
    </xf>
    <xf numFmtId="165" fontId="188" fillId="34" borderId="3" xfId="1" applyFont="1" applyFill="1" applyBorder="1" applyAlignment="1">
      <alignment horizontal="right" vertical="top"/>
    </xf>
    <xf numFmtId="0" fontId="192" fillId="0" borderId="0" xfId="0" applyFont="1" applyAlignment="1">
      <alignment vertical="top" wrapText="1"/>
    </xf>
    <xf numFmtId="0" fontId="26" fillId="17" borderId="0" xfId="0" applyFont="1" applyFill="1" applyAlignment="1" applyProtection="1">
      <alignment vertical="center"/>
    </xf>
    <xf numFmtId="0" fontId="26" fillId="17" borderId="102" xfId="0" applyFont="1" applyFill="1" applyBorder="1" applyProtection="1">
      <protection hidden="1"/>
    </xf>
    <xf numFmtId="0" fontId="153" fillId="0" borderId="0" xfId="0" applyFont="1" applyFill="1" applyAlignment="1">
      <alignment horizontal="justify" vertical="top" wrapText="1"/>
    </xf>
    <xf numFmtId="0" fontId="172" fillId="0" borderId="0" xfId="0" applyFont="1" applyAlignment="1">
      <alignment horizontal="justify" vertical="top" wrapText="1"/>
    </xf>
    <xf numFmtId="0" fontId="129" fillId="0" borderId="0" xfId="0" applyFont="1"/>
    <xf numFmtId="0" fontId="192" fillId="0" borderId="0" xfId="0" applyFont="1" applyAlignment="1">
      <alignment wrapText="1"/>
    </xf>
    <xf numFmtId="0" fontId="187" fillId="6" borderId="10" xfId="0" applyFont="1" applyFill="1" applyBorder="1" applyAlignment="1">
      <alignment horizontal="center" wrapText="1"/>
    </xf>
    <xf numFmtId="0" fontId="209" fillId="0" borderId="0" xfId="0" applyFont="1" applyAlignment="1">
      <alignment vertical="top" wrapText="1"/>
    </xf>
    <xf numFmtId="0" fontId="209" fillId="0" borderId="0" xfId="0" applyFont="1" applyFill="1" applyAlignment="1">
      <alignment horizontal="left" vertical="top" wrapText="1"/>
    </xf>
    <xf numFmtId="0" fontId="192" fillId="0" borderId="0" xfId="0" applyFont="1" applyFill="1" applyAlignment="1">
      <alignment vertical="top" wrapText="1"/>
    </xf>
    <xf numFmtId="0" fontId="192" fillId="0" borderId="0" xfId="0" applyFont="1" applyAlignment="1">
      <alignment vertical="top" wrapText="1"/>
    </xf>
    <xf numFmtId="0" fontId="176" fillId="0" borderId="0" xfId="0" applyFont="1" applyAlignment="1">
      <alignment horizontal="justify" vertical="top" wrapText="1"/>
    </xf>
    <xf numFmtId="0" fontId="209" fillId="0" borderId="0" xfId="0" applyFont="1" applyAlignment="1">
      <alignment vertical="top" wrapText="1"/>
    </xf>
    <xf numFmtId="0" fontId="209" fillId="0" borderId="0" xfId="0" applyFont="1" applyFill="1" applyAlignment="1">
      <alignment vertical="top" wrapText="1"/>
    </xf>
    <xf numFmtId="0" fontId="176" fillId="0" borderId="0" xfId="0" applyFont="1" applyAlignment="1">
      <alignment horizontal="justify" vertical="top" wrapText="1"/>
    </xf>
    <xf numFmtId="0" fontId="192" fillId="0" borderId="0" xfId="0" applyFont="1" applyAlignment="1">
      <alignment vertical="top" wrapText="1"/>
    </xf>
    <xf numFmtId="0" fontId="209" fillId="0" borderId="0" xfId="0" applyFont="1" applyFill="1" applyAlignment="1">
      <alignment horizontal="left" vertical="top" wrapText="1"/>
    </xf>
    <xf numFmtId="0" fontId="192" fillId="0" borderId="0" xfId="0" applyFont="1" applyFill="1" applyAlignment="1">
      <alignment vertical="top" wrapText="1"/>
    </xf>
    <xf numFmtId="37" fontId="187" fillId="6" borderId="3" xfId="0" applyNumberFormat="1" applyFont="1" applyFill="1" applyBorder="1" applyAlignment="1">
      <alignment horizontal="center" vertical="center"/>
    </xf>
    <xf numFmtId="0" fontId="216" fillId="0" borderId="0" xfId="0" applyFont="1" applyAlignment="1"/>
    <xf numFmtId="0" fontId="216" fillId="0" borderId="0" xfId="0" applyFont="1" applyFill="1" applyAlignment="1"/>
    <xf numFmtId="165" fontId="172" fillId="34" borderId="3" xfId="0" applyNumberFormat="1" applyFont="1" applyFill="1" applyBorder="1" applyAlignment="1">
      <alignment horizontal="right" vertical="center"/>
    </xf>
    <xf numFmtId="165" fontId="187" fillId="33" borderId="3" xfId="1" applyNumberFormat="1" applyFont="1" applyFill="1" applyBorder="1" applyAlignment="1">
      <alignment horizontal="right" vertical="center"/>
    </xf>
    <xf numFmtId="0" fontId="218" fillId="0" borderId="0" xfId="0" applyFont="1" applyAlignment="1">
      <alignment vertical="top" wrapText="1"/>
    </xf>
    <xf numFmtId="0" fontId="218" fillId="0" borderId="0" xfId="0" applyFont="1" applyAlignment="1">
      <alignment vertical="top"/>
    </xf>
    <xf numFmtId="0" fontId="192" fillId="0" borderId="0" xfId="0" applyFont="1" applyAlignment="1"/>
    <xf numFmtId="0" fontId="219" fillId="0" borderId="0" xfId="0" applyFont="1" applyAlignment="1">
      <alignment horizontal="left"/>
    </xf>
    <xf numFmtId="0" fontId="192" fillId="0" borderId="0" xfId="0" applyFont="1" applyAlignment="1">
      <alignment horizontal="justify" vertical="top"/>
    </xf>
    <xf numFmtId="0" fontId="177" fillId="0" borderId="0" xfId="0" applyFont="1" applyAlignment="1">
      <alignment vertical="top" wrapText="1"/>
    </xf>
    <xf numFmtId="49" fontId="8" fillId="33" borderId="167" xfId="0" quotePrefix="1" applyNumberFormat="1" applyFont="1" applyFill="1" applyBorder="1" applyAlignment="1">
      <alignment horizontal="center" vertical="top" wrapText="1"/>
    </xf>
    <xf numFmtId="0" fontId="17" fillId="33" borderId="86" xfId="0" applyFont="1" applyFill="1" applyBorder="1" applyAlignment="1">
      <alignment horizontal="center" vertical="top"/>
    </xf>
    <xf numFmtId="0" fontId="8" fillId="33" borderId="167" xfId="0" applyFont="1" applyFill="1" applyBorder="1" applyAlignment="1">
      <alignment horizontal="left" vertical="top" wrapText="1"/>
    </xf>
    <xf numFmtId="49" fontId="8" fillId="33" borderId="203" xfId="0" applyNumberFormat="1" applyFont="1" applyFill="1" applyBorder="1" applyAlignment="1">
      <alignment horizontal="center" wrapText="1"/>
    </xf>
    <xf numFmtId="0" fontId="9" fillId="0" borderId="86" xfId="0" applyFont="1" applyFill="1" applyBorder="1" applyAlignment="1">
      <alignment horizontal="center" vertical="top"/>
    </xf>
    <xf numFmtId="0" fontId="8" fillId="33" borderId="203" xfId="0" applyFont="1" applyFill="1" applyBorder="1" applyAlignment="1">
      <alignment wrapText="1"/>
    </xf>
    <xf numFmtId="49" fontId="8" fillId="33" borderId="203" xfId="0" applyNumberFormat="1" applyFont="1" applyFill="1" applyBorder="1" applyAlignment="1">
      <alignment horizontal="center" vertical="top" wrapText="1"/>
    </xf>
    <xf numFmtId="0" fontId="8" fillId="33" borderId="203" xfId="0" applyFont="1" applyFill="1" applyBorder="1" applyAlignment="1">
      <alignment vertical="top" wrapText="1"/>
    </xf>
    <xf numFmtId="49" fontId="91" fillId="33" borderId="3" xfId="0" applyNumberFormat="1" applyFont="1" applyFill="1" applyBorder="1" applyAlignment="1">
      <alignment horizontal="center" vertical="top" wrapText="1"/>
    </xf>
    <xf numFmtId="49" fontId="91" fillId="33" borderId="203" xfId="0" applyNumberFormat="1" applyFont="1" applyFill="1" applyBorder="1" applyAlignment="1">
      <alignment horizontal="center" vertical="top" wrapText="1"/>
    </xf>
    <xf numFmtId="49" fontId="91" fillId="33" borderId="203" xfId="0" applyNumberFormat="1" applyFont="1" applyFill="1" applyBorder="1" applyAlignment="1">
      <alignment horizontal="center" wrapText="1"/>
    </xf>
    <xf numFmtId="49" fontId="8" fillId="33" borderId="167" xfId="0" applyNumberFormat="1" applyFont="1" applyFill="1" applyBorder="1" applyAlignment="1">
      <alignment horizontal="center" vertical="top" wrapText="1"/>
    </xf>
    <xf numFmtId="49" fontId="91" fillId="33" borderId="0" xfId="0" applyNumberFormat="1" applyFont="1" applyFill="1" applyBorder="1" applyAlignment="1">
      <alignment horizontal="center" wrapText="1"/>
    </xf>
    <xf numFmtId="0" fontId="30" fillId="33" borderId="86" xfId="0" applyFont="1" applyFill="1" applyBorder="1" applyAlignment="1">
      <alignment horizontal="center" vertical="top"/>
    </xf>
    <xf numFmtId="0" fontId="192" fillId="0" borderId="0" xfId="0" applyFont="1" applyAlignment="1">
      <alignment wrapText="1"/>
    </xf>
    <xf numFmtId="0" fontId="177" fillId="0" borderId="0" xfId="0" applyFont="1" applyAlignment="1">
      <alignment horizontal="left" vertical="top" wrapText="1"/>
    </xf>
    <xf numFmtId="0" fontId="220" fillId="0" borderId="0" xfId="0" applyFont="1" applyBorder="1" applyAlignment="1">
      <alignment vertical="top" wrapText="1"/>
    </xf>
    <xf numFmtId="0" fontId="129" fillId="0" borderId="0" xfId="0" applyFont="1"/>
    <xf numFmtId="0" fontId="130" fillId="0" borderId="0" xfId="0" applyFont="1" applyBorder="1" applyAlignment="1">
      <alignment wrapText="1"/>
    </xf>
    <xf numFmtId="0" fontId="77" fillId="19" borderId="0" xfId="0" applyFont="1" applyFill="1" applyAlignment="1">
      <alignment vertical="top" wrapText="1"/>
    </xf>
    <xf numFmtId="0" fontId="77" fillId="19" borderId="0" xfId="0" applyFont="1" applyFill="1" applyAlignment="1">
      <alignment vertical="top"/>
    </xf>
    <xf numFmtId="0" fontId="71" fillId="19" borderId="0" xfId="0" applyFont="1" applyFill="1" applyAlignment="1">
      <alignment vertical="top"/>
    </xf>
    <xf numFmtId="0" fontId="213" fillId="0" borderId="0" xfId="0" applyFont="1" applyFill="1" applyAlignment="1">
      <alignment vertical="top" wrapText="1"/>
    </xf>
    <xf numFmtId="0" fontId="0" fillId="30" borderId="195" xfId="0" applyFill="1" applyBorder="1" applyAlignment="1">
      <alignment vertical="top" wrapText="1"/>
    </xf>
    <xf numFmtId="0" fontId="221" fillId="0" borderId="0" xfId="0" applyFont="1" applyAlignment="1"/>
    <xf numFmtId="165" fontId="172" fillId="0" borderId="3" xfId="1" applyFont="1" applyFill="1" applyBorder="1" applyAlignment="1">
      <alignment horizontal="right" vertical="center"/>
    </xf>
    <xf numFmtId="10" fontId="172" fillId="0" borderId="3" xfId="1" applyNumberFormat="1" applyFont="1" applyFill="1" applyBorder="1" applyAlignment="1">
      <alignment horizontal="center" vertical="center"/>
    </xf>
    <xf numFmtId="9" fontId="172" fillId="0" borderId="3" xfId="1" applyNumberFormat="1" applyFont="1" applyFill="1" applyBorder="1" applyAlignment="1">
      <alignment horizontal="center" vertical="center"/>
    </xf>
    <xf numFmtId="0" fontId="187" fillId="37" borderId="3" xfId="0" applyFont="1" applyFill="1" applyBorder="1" applyAlignment="1">
      <alignment horizontal="center" vertical="center" wrapText="1"/>
    </xf>
    <xf numFmtId="165" fontId="187" fillId="37" borderId="3" xfId="0" applyNumberFormat="1" applyFont="1" applyFill="1" applyBorder="1" applyAlignment="1">
      <alignment horizontal="center" vertical="center"/>
    </xf>
    <xf numFmtId="165" fontId="187" fillId="37" borderId="3" xfId="2" applyNumberFormat="1" applyFont="1" applyFill="1" applyBorder="1" applyAlignment="1"/>
    <xf numFmtId="165" fontId="187" fillId="37" borderId="3" xfId="1" applyFont="1" applyFill="1" applyBorder="1" applyAlignment="1">
      <alignment vertical="center"/>
    </xf>
    <xf numFmtId="165" fontId="187" fillId="37" borderId="3" xfId="1" applyFont="1" applyFill="1" applyBorder="1" applyAlignment="1">
      <alignment horizontal="center"/>
    </xf>
    <xf numFmtId="165" fontId="187" fillId="37" borderId="3" xfId="1" applyFont="1" applyFill="1" applyBorder="1" applyAlignment="1">
      <alignment horizontal="center" vertical="center"/>
    </xf>
    <xf numFmtId="165" fontId="187" fillId="37" borderId="3" xfId="1" applyFont="1" applyFill="1" applyBorder="1" applyAlignment="1">
      <alignment horizontal="right" vertical="center"/>
    </xf>
    <xf numFmtId="0" fontId="187" fillId="37" borderId="3" xfId="0" applyFont="1" applyFill="1" applyBorder="1" applyAlignment="1">
      <alignment horizontal="center"/>
    </xf>
    <xf numFmtId="164" fontId="187" fillId="37" borderId="3" xfId="0" applyNumberFormat="1" applyFont="1" applyFill="1" applyBorder="1" applyAlignment="1">
      <alignment horizontal="center"/>
    </xf>
    <xf numFmtId="0" fontId="187" fillId="37" borderId="3" xfId="0" applyFont="1" applyFill="1" applyBorder="1" applyAlignment="1">
      <alignment horizontal="center" vertical="center"/>
    </xf>
    <xf numFmtId="165" fontId="154" fillId="37" borderId="3" xfId="1" applyFont="1" applyFill="1" applyBorder="1" applyAlignment="1">
      <alignment vertical="center"/>
    </xf>
    <xf numFmtId="165" fontId="154" fillId="37" borderId="3" xfId="1" applyFont="1" applyFill="1" applyBorder="1" applyAlignment="1">
      <alignment horizontal="center" vertical="center"/>
    </xf>
    <xf numFmtId="165" fontId="187" fillId="37" borderId="3" xfId="2" applyNumberFormat="1" applyFont="1" applyFill="1" applyBorder="1" applyAlignment="1">
      <alignment horizontal="center" vertical="center"/>
    </xf>
    <xf numFmtId="165" fontId="172" fillId="0" borderId="3" xfId="0" applyNumberFormat="1" applyFont="1" applyFill="1" applyBorder="1" applyAlignment="1">
      <alignment vertical="center"/>
    </xf>
    <xf numFmtId="165" fontId="190" fillId="0" borderId="22" xfId="2" applyNumberFormat="1" applyFont="1" applyBorder="1" applyAlignment="1"/>
    <xf numFmtId="165" fontId="172" fillId="0" borderId="23" xfId="2" applyNumberFormat="1" applyFont="1" applyBorder="1" applyAlignment="1"/>
    <xf numFmtId="165" fontId="187" fillId="0" borderId="23" xfId="2" applyNumberFormat="1" applyFont="1" applyBorder="1" applyAlignment="1"/>
    <xf numFmtId="165" fontId="172" fillId="0" borderId="140" xfId="2" applyNumberFormat="1" applyFont="1" applyBorder="1" applyAlignment="1"/>
    <xf numFmtId="165" fontId="187" fillId="0" borderId="140" xfId="2" applyNumberFormat="1" applyFont="1" applyBorder="1" applyAlignment="1"/>
    <xf numFmtId="165" fontId="190" fillId="33" borderId="23" xfId="2" applyNumberFormat="1" applyFont="1" applyFill="1" applyBorder="1" applyAlignment="1"/>
    <xf numFmtId="165" fontId="188" fillId="0" borderId="145" xfId="2" applyNumberFormat="1" applyFont="1" applyBorder="1" applyAlignment="1"/>
    <xf numFmtId="165" fontId="190" fillId="33" borderId="24" xfId="2" applyNumberFormat="1" applyFont="1" applyFill="1" applyBorder="1" applyAlignment="1"/>
    <xf numFmtId="165" fontId="214" fillId="37" borderId="23" xfId="2" applyNumberFormat="1" applyFont="1" applyFill="1" applyBorder="1" applyAlignment="1"/>
    <xf numFmtId="165" fontId="214" fillId="37" borderId="24" xfId="2" applyNumberFormat="1" applyFont="1" applyFill="1" applyBorder="1" applyAlignment="1"/>
    <xf numFmtId="0" fontId="172" fillId="0" borderId="19" xfId="0" applyFont="1" applyBorder="1" applyAlignment="1">
      <alignment horizontal="center"/>
    </xf>
    <xf numFmtId="0" fontId="153" fillId="0" borderId="19" xfId="0" applyFont="1" applyBorder="1" applyAlignment="1">
      <alignment horizontal="center"/>
    </xf>
    <xf numFmtId="0" fontId="124" fillId="0" borderId="0" xfId="0" applyFont="1" applyFill="1" applyAlignment="1">
      <alignment vertical="center" wrapText="1"/>
    </xf>
    <xf numFmtId="0" fontId="112" fillId="0" borderId="0" xfId="0" applyFont="1" applyFill="1" applyAlignment="1">
      <alignment vertical="center" wrapText="1"/>
    </xf>
    <xf numFmtId="0" fontId="220" fillId="16" borderId="0" xfId="0" applyFont="1" applyFill="1" applyBorder="1" applyAlignment="1">
      <alignment vertical="top" wrapText="1"/>
    </xf>
    <xf numFmtId="0" fontId="190" fillId="6" borderId="11" xfId="0" applyFont="1" applyFill="1" applyBorder="1" applyAlignment="1">
      <alignment horizontal="center" vertical="center" wrapText="1"/>
    </xf>
    <xf numFmtId="0" fontId="222" fillId="0" borderId="0" xfId="0" applyFont="1"/>
    <xf numFmtId="10" fontId="187" fillId="33" borderId="3" xfId="0" applyNumberFormat="1" applyFont="1" applyFill="1" applyBorder="1" applyAlignment="1">
      <alignment vertical="top"/>
    </xf>
    <xf numFmtId="0" fontId="0" fillId="0" borderId="0" xfId="0" applyAlignment="1">
      <alignment vertical="top" wrapText="1"/>
    </xf>
    <xf numFmtId="0" fontId="209" fillId="0" borderId="0" xfId="0" applyFont="1" applyAlignment="1">
      <alignment horizontal="left" vertical="top" wrapText="1"/>
    </xf>
    <xf numFmtId="0" fontId="176" fillId="0" borderId="0" xfId="0" applyFont="1" applyAlignment="1">
      <alignment horizontal="justify" vertical="top" wrapText="1"/>
    </xf>
    <xf numFmtId="0" fontId="0" fillId="0" borderId="0" xfId="0" applyBorder="1" applyAlignment="1">
      <alignment vertical="top" wrapText="1"/>
    </xf>
    <xf numFmtId="0" fontId="154" fillId="2" borderId="3" xfId="0" applyFont="1" applyFill="1" applyBorder="1" applyAlignment="1">
      <alignment horizontal="center" vertical="center"/>
    </xf>
    <xf numFmtId="3" fontId="28" fillId="17" borderId="50" xfId="0" applyNumberFormat="1" applyFont="1" applyFill="1" applyBorder="1" applyAlignment="1" applyProtection="1">
      <alignment horizontal="right"/>
      <protection hidden="1"/>
    </xf>
    <xf numFmtId="3" fontId="26" fillId="17" borderId="49" xfId="0" applyNumberFormat="1" applyFont="1" applyFill="1" applyBorder="1" applyAlignment="1" applyProtection="1">
      <alignment horizontal="right"/>
      <protection hidden="1"/>
    </xf>
    <xf numFmtId="3" fontId="42" fillId="17" borderId="50" xfId="0" applyNumberFormat="1" applyFont="1" applyFill="1" applyBorder="1" applyAlignment="1" applyProtection="1">
      <alignment horizontal="right" vertical="center"/>
      <protection hidden="1"/>
    </xf>
    <xf numFmtId="4" fontId="28" fillId="17" borderId="50" xfId="0" applyNumberFormat="1" applyFont="1" applyFill="1" applyBorder="1" applyAlignment="1" applyProtection="1">
      <alignment horizontal="right"/>
      <protection hidden="1"/>
    </xf>
    <xf numFmtId="3" fontId="28" fillId="17" borderId="48" xfId="0" applyNumberFormat="1" applyFont="1" applyFill="1" applyBorder="1" applyAlignment="1" applyProtection="1">
      <alignment horizontal="right"/>
      <protection hidden="1"/>
    </xf>
    <xf numFmtId="0" fontId="192" fillId="0" borderId="0" xfId="0" applyFont="1" applyAlignment="1">
      <alignment wrapText="1"/>
    </xf>
    <xf numFmtId="0" fontId="129" fillId="0" borderId="0" xfId="0" applyFont="1"/>
    <xf numFmtId="0" fontId="228" fillId="19" borderId="14" xfId="0" applyNumberFormat="1" applyFont="1" applyFill="1" applyBorder="1" applyAlignment="1" applyProtection="1">
      <alignment horizontal="center" vertical="center"/>
    </xf>
    <xf numFmtId="3" fontId="228" fillId="19" borderId="3" xfId="0" applyNumberFormat="1" applyFont="1" applyFill="1" applyBorder="1" applyAlignment="1" applyProtection="1">
      <alignment horizontal="center" vertical="center"/>
    </xf>
    <xf numFmtId="3" fontId="228" fillId="19" borderId="15" xfId="0" applyNumberFormat="1" applyFont="1" applyFill="1" applyBorder="1" applyAlignment="1" applyProtection="1">
      <alignment horizontal="center" vertical="center"/>
    </xf>
    <xf numFmtId="0" fontId="229" fillId="5" borderId="82" xfId="0" applyFont="1" applyFill="1" applyBorder="1" applyAlignment="1" applyProtection="1">
      <alignment vertical="center"/>
    </xf>
    <xf numFmtId="0" fontId="229" fillId="5" borderId="0" xfId="0" applyFont="1" applyFill="1" applyBorder="1" applyAlignment="1" applyProtection="1">
      <alignment vertical="center"/>
    </xf>
    <xf numFmtId="0" fontId="98" fillId="5" borderId="82" xfId="0" applyFont="1" applyFill="1" applyBorder="1" applyAlignment="1" applyProtection="1">
      <alignment vertical="center"/>
    </xf>
    <xf numFmtId="0" fontId="98" fillId="5" borderId="0" xfId="0" applyFont="1" applyFill="1" applyBorder="1" applyAlignment="1" applyProtection="1">
      <alignment vertical="center"/>
    </xf>
    <xf numFmtId="0" fontId="230" fillId="5" borderId="82" xfId="0" applyFont="1" applyFill="1" applyBorder="1" applyAlignment="1" applyProtection="1">
      <alignment vertical="center"/>
    </xf>
    <xf numFmtId="0" fontId="230" fillId="5" borderId="0" xfId="0" applyFont="1" applyFill="1" applyBorder="1" applyAlignment="1" applyProtection="1">
      <alignment vertical="center"/>
    </xf>
    <xf numFmtId="0" fontId="230" fillId="5" borderId="0" xfId="0" applyFont="1" applyFill="1" applyBorder="1" applyAlignment="1" applyProtection="1">
      <alignment horizontal="left" vertical="center"/>
    </xf>
    <xf numFmtId="0" fontId="230" fillId="5" borderId="0" xfId="0" applyFont="1" applyFill="1" applyBorder="1" applyAlignment="1" applyProtection="1">
      <alignment horizontal="left" vertical="center" wrapText="1"/>
    </xf>
    <xf numFmtId="0" fontId="231" fillId="5" borderId="0" xfId="0" applyFont="1" applyFill="1" applyBorder="1" applyProtection="1"/>
    <xf numFmtId="0" fontId="98" fillId="5" borderId="0" xfId="0" applyFont="1" applyFill="1" applyBorder="1" applyAlignment="1" applyProtection="1">
      <alignment horizontal="left" vertical="center"/>
    </xf>
    <xf numFmtId="0" fontId="30" fillId="5" borderId="0" xfId="0" applyFont="1" applyFill="1" applyBorder="1" applyProtection="1"/>
    <xf numFmtId="0" fontId="30" fillId="5" borderId="0" xfId="0" applyFont="1" applyFill="1" applyBorder="1" applyAlignment="1" applyProtection="1">
      <alignment vertical="center"/>
    </xf>
    <xf numFmtId="0" fontId="232" fillId="5" borderId="82" xfId="0" applyFont="1" applyFill="1" applyBorder="1" applyAlignment="1" applyProtection="1">
      <alignment vertical="center"/>
    </xf>
    <xf numFmtId="0" fontId="98" fillId="5" borderId="82" xfId="0" applyFont="1" applyFill="1" applyBorder="1" applyAlignment="1" applyProtection="1">
      <alignment horizontal="center" vertical="center"/>
    </xf>
    <xf numFmtId="0" fontId="98" fillId="5" borderId="0" xfId="0" applyFont="1" applyFill="1" applyBorder="1" applyAlignment="1" applyProtection="1">
      <alignment horizontal="center" vertical="center"/>
    </xf>
    <xf numFmtId="0" fontId="98" fillId="5" borderId="0" xfId="0" applyFont="1" applyFill="1" applyBorder="1" applyAlignment="1" applyProtection="1">
      <alignment horizontal="left" vertical="center" wrapText="1"/>
    </xf>
    <xf numFmtId="0" fontId="98" fillId="5" borderId="60" xfId="0" applyFont="1" applyFill="1" applyBorder="1" applyAlignment="1" applyProtection="1">
      <alignment vertical="center"/>
    </xf>
    <xf numFmtId="0" fontId="98" fillId="5" borderId="59" xfId="0" applyFont="1" applyFill="1" applyBorder="1" applyAlignment="1" applyProtection="1">
      <alignment vertical="center"/>
    </xf>
    <xf numFmtId="0" fontId="230" fillId="5" borderId="59" xfId="0" applyFont="1" applyFill="1" applyBorder="1" applyAlignment="1" applyProtection="1">
      <alignment vertical="center"/>
    </xf>
    <xf numFmtId="0" fontId="228" fillId="4" borderId="3" xfId="0" applyFont="1" applyFill="1" applyBorder="1" applyAlignment="1" applyProtection="1">
      <alignment horizontal="center" vertical="center"/>
    </xf>
    <xf numFmtId="3" fontId="228" fillId="4" borderId="3" xfId="0" applyNumberFormat="1" applyFont="1" applyFill="1" applyBorder="1" applyAlignment="1" applyProtection="1">
      <alignment horizontal="center" vertical="center"/>
    </xf>
    <xf numFmtId="0" fontId="229" fillId="5" borderId="4" xfId="0" applyFont="1" applyFill="1" applyBorder="1" applyAlignment="1" applyProtection="1">
      <alignment vertical="center"/>
    </xf>
    <xf numFmtId="0" fontId="98" fillId="5" borderId="1" xfId="0" applyFont="1" applyFill="1" applyBorder="1" applyAlignment="1" applyProtection="1">
      <alignment vertical="center"/>
    </xf>
    <xf numFmtId="0" fontId="98" fillId="5" borderId="13" xfId="0" applyFont="1" applyFill="1" applyBorder="1" applyAlignment="1" applyProtection="1">
      <alignment horizontal="left" vertical="center"/>
    </xf>
    <xf numFmtId="0" fontId="230" fillId="5" borderId="0" xfId="0" applyFont="1" applyFill="1" applyBorder="1" applyAlignment="1" applyProtection="1">
      <alignment vertical="top"/>
    </xf>
    <xf numFmtId="0" fontId="230" fillId="5" borderId="60" xfId="0" applyFont="1" applyFill="1" applyBorder="1" applyAlignment="1" applyProtection="1">
      <alignment vertical="center"/>
    </xf>
    <xf numFmtId="0" fontId="159" fillId="17" borderId="0" xfId="0" applyFont="1" applyFill="1" applyAlignment="1">
      <alignment horizontal="left"/>
    </xf>
    <xf numFmtId="0" fontId="158" fillId="17" borderId="0" xfId="0" applyFont="1" applyFill="1" applyAlignment="1">
      <alignment horizontal="left"/>
    </xf>
    <xf numFmtId="0" fontId="159" fillId="17" borderId="0" xfId="0" applyFont="1" applyFill="1"/>
    <xf numFmtId="0" fontId="159" fillId="17" borderId="0" xfId="0" applyFont="1" applyFill="1" applyAlignment="1">
      <alignment horizontal="center"/>
    </xf>
    <xf numFmtId="0" fontId="233" fillId="17" borderId="0" xfId="0" applyFont="1" applyFill="1"/>
    <xf numFmtId="0" fontId="146" fillId="33" borderId="104" xfId="0" quotePrefix="1" applyFont="1" applyFill="1" applyBorder="1" applyAlignment="1" applyProtection="1">
      <alignment horizontal="left" vertical="top" wrapText="1" shrinkToFit="1"/>
      <protection locked="0"/>
    </xf>
    <xf numFmtId="165" fontId="153" fillId="0" borderId="0" xfId="0" applyNumberFormat="1" applyFont="1" applyAlignment="1">
      <alignment vertical="top"/>
    </xf>
    <xf numFmtId="37" fontId="28" fillId="17" borderId="50" xfId="0" applyNumberFormat="1" applyFont="1" applyFill="1" applyBorder="1" applyAlignment="1" applyProtection="1">
      <alignment horizontal="right"/>
      <protection hidden="1"/>
    </xf>
    <xf numFmtId="3" fontId="152" fillId="17" borderId="106" xfId="0" applyNumberFormat="1" applyFont="1" applyFill="1" applyBorder="1" applyProtection="1">
      <protection hidden="1"/>
    </xf>
    <xf numFmtId="0" fontId="234" fillId="17" borderId="66" xfId="0" applyFont="1" applyFill="1" applyBorder="1" applyAlignment="1" applyProtection="1">
      <alignment vertical="center"/>
      <protection hidden="1"/>
    </xf>
    <xf numFmtId="0" fontId="199" fillId="17" borderId="61" xfId="0" applyFont="1" applyFill="1" applyBorder="1" applyAlignment="1" applyProtection="1">
      <alignment horizontal="left"/>
      <protection hidden="1"/>
    </xf>
    <xf numFmtId="3" fontId="234" fillId="17" borderId="67" xfId="0" applyNumberFormat="1" applyFont="1" applyFill="1" applyBorder="1" applyAlignment="1" applyProtection="1">
      <alignment horizontal="right"/>
      <protection hidden="1"/>
    </xf>
    <xf numFmtId="3" fontId="234" fillId="17" borderId="60" xfId="0" applyNumberFormat="1" applyFont="1" applyFill="1" applyBorder="1" applyAlignment="1" applyProtection="1">
      <alignment horizontal="right"/>
      <protection hidden="1"/>
    </xf>
    <xf numFmtId="3" fontId="199" fillId="18" borderId="67" xfId="0" applyNumberFormat="1" applyFont="1" applyFill="1" applyBorder="1" applyProtection="1">
      <protection hidden="1"/>
    </xf>
    <xf numFmtId="3" fontId="199" fillId="17" borderId="67" xfId="0" applyNumberFormat="1" applyFont="1" applyFill="1" applyBorder="1" applyAlignment="1" applyProtection="1">
      <alignment horizontal="right" wrapText="1"/>
      <protection hidden="1"/>
    </xf>
    <xf numFmtId="0" fontId="199" fillId="17" borderId="3" xfId="0" applyFont="1" applyFill="1" applyBorder="1" applyAlignment="1" applyProtection="1">
      <alignment horizontal="center" vertical="center"/>
      <protection hidden="1"/>
    </xf>
    <xf numFmtId="0" fontId="199" fillId="17" borderId="14" xfId="0" applyFont="1" applyFill="1" applyBorder="1" applyAlignment="1" applyProtection="1">
      <alignment horizontal="center" vertical="center"/>
      <protection hidden="1"/>
    </xf>
    <xf numFmtId="0" fontId="199" fillId="18" borderId="3" xfId="0" applyFont="1" applyFill="1" applyBorder="1" applyAlignment="1" applyProtection="1">
      <alignment horizontal="center" vertical="center"/>
      <protection hidden="1"/>
    </xf>
    <xf numFmtId="0" fontId="199" fillId="17" borderId="64" xfId="0" applyFont="1" applyFill="1" applyBorder="1" applyAlignment="1" applyProtection="1">
      <alignment horizontal="center" vertical="center"/>
      <protection hidden="1"/>
    </xf>
    <xf numFmtId="3" fontId="199" fillId="33" borderId="14" xfId="0" applyNumberFormat="1" applyFont="1" applyFill="1" applyBorder="1" applyAlignment="1" applyProtection="1">
      <alignment horizontal="right"/>
      <protection locked="0"/>
    </xf>
    <xf numFmtId="3" fontId="199" fillId="17" borderId="7" xfId="0" applyNumberFormat="1" applyFont="1" applyFill="1" applyBorder="1" applyAlignment="1" applyProtection="1">
      <alignment horizontal="right"/>
      <protection hidden="1"/>
    </xf>
    <xf numFmtId="3" fontId="199" fillId="18" borderId="12" xfId="0" applyNumberFormat="1" applyFont="1" applyFill="1" applyBorder="1" applyProtection="1">
      <protection hidden="1"/>
    </xf>
    <xf numFmtId="3" fontId="199" fillId="33" borderId="3" xfId="0" applyNumberFormat="1" applyFont="1" applyFill="1" applyBorder="1" applyAlignment="1" applyProtection="1">
      <alignment horizontal="right" wrapText="1"/>
      <protection locked="0"/>
    </xf>
    <xf numFmtId="3" fontId="199" fillId="17" borderId="64" xfId="0" applyNumberFormat="1" applyFont="1" applyFill="1" applyBorder="1" applyAlignment="1" applyProtection="1">
      <alignment horizontal="right" wrapText="1"/>
      <protection hidden="1"/>
    </xf>
    <xf numFmtId="3" fontId="199" fillId="18" borderId="11" xfId="0" applyNumberFormat="1" applyFont="1" applyFill="1" applyBorder="1" applyProtection="1">
      <protection hidden="1"/>
    </xf>
    <xf numFmtId="3" fontId="199" fillId="18" borderId="3" xfId="0" applyNumberFormat="1" applyFont="1" applyFill="1" applyBorder="1" applyProtection="1">
      <protection hidden="1"/>
    </xf>
    <xf numFmtId="3" fontId="199" fillId="18" borderId="10" xfId="0" applyNumberFormat="1" applyFont="1" applyFill="1" applyBorder="1" applyProtection="1">
      <protection hidden="1"/>
    </xf>
    <xf numFmtId="3" fontId="234" fillId="0" borderId="67" xfId="0" applyNumberFormat="1" applyFont="1" applyFill="1" applyBorder="1" applyAlignment="1" applyProtection="1">
      <alignment horizontal="right"/>
      <protection hidden="1"/>
    </xf>
    <xf numFmtId="3" fontId="199" fillId="33" borderId="11" xfId="0" applyNumberFormat="1" applyFont="1" applyFill="1" applyBorder="1" applyAlignment="1" applyProtection="1">
      <alignment horizontal="right"/>
      <protection locked="0"/>
    </xf>
    <xf numFmtId="3" fontId="199" fillId="17" borderId="3" xfId="0" applyNumberFormat="1" applyFont="1" applyFill="1" applyBorder="1" applyAlignment="1" applyProtection="1">
      <alignment horizontal="right" wrapText="1"/>
      <protection hidden="1"/>
    </xf>
    <xf numFmtId="3" fontId="199" fillId="39" borderId="3" xfId="0" applyNumberFormat="1" applyFont="1" applyFill="1" applyBorder="1" applyAlignment="1" applyProtection="1">
      <alignment horizontal="right"/>
      <protection locked="0"/>
    </xf>
    <xf numFmtId="3" fontId="199" fillId="39" borderId="3" xfId="0" applyNumberFormat="1" applyFont="1" applyFill="1" applyBorder="1" applyAlignment="1" applyProtection="1">
      <alignment horizontal="right" wrapText="1"/>
      <protection locked="0"/>
    </xf>
    <xf numFmtId="3" fontId="199" fillId="33" borderId="3" xfId="0" applyNumberFormat="1" applyFont="1" applyFill="1" applyBorder="1" applyAlignment="1" applyProtection="1">
      <alignment horizontal="right"/>
      <protection locked="0"/>
    </xf>
    <xf numFmtId="3" fontId="235" fillId="17" borderId="7" xfId="0" applyNumberFormat="1" applyFont="1" applyFill="1" applyBorder="1" applyAlignment="1" applyProtection="1">
      <alignment horizontal="right"/>
      <protection hidden="1"/>
    </xf>
    <xf numFmtId="3" fontId="235" fillId="17" borderId="64" xfId="0" applyNumberFormat="1" applyFont="1" applyFill="1" applyBorder="1" applyAlignment="1" applyProtection="1">
      <alignment horizontal="right" wrapText="1"/>
      <protection hidden="1"/>
    </xf>
    <xf numFmtId="0" fontId="239" fillId="17" borderId="79" xfId="0" applyFont="1" applyFill="1" applyBorder="1" applyAlignment="1" applyProtection="1">
      <alignment vertical="center"/>
      <protection hidden="1"/>
    </xf>
    <xf numFmtId="0" fontId="189" fillId="17" borderId="32" xfId="0" applyFont="1" applyFill="1" applyBorder="1" applyAlignment="1" applyProtection="1">
      <alignment horizontal="left"/>
      <protection hidden="1"/>
    </xf>
    <xf numFmtId="3" fontId="239" fillId="17" borderId="67" xfId="0" applyNumberFormat="1" applyFont="1" applyFill="1" applyBorder="1" applyAlignment="1" applyProtection="1">
      <alignment horizontal="right"/>
      <protection hidden="1"/>
    </xf>
    <xf numFmtId="3" fontId="239" fillId="17" borderId="60" xfId="0" applyNumberFormat="1" applyFont="1" applyFill="1" applyBorder="1" applyAlignment="1" applyProtection="1">
      <alignment horizontal="right"/>
      <protection hidden="1"/>
    </xf>
    <xf numFmtId="3" fontId="235" fillId="17" borderId="67" xfId="0" applyNumberFormat="1" applyFont="1" applyFill="1" applyBorder="1" applyAlignment="1" applyProtection="1">
      <alignment horizontal="right" wrapText="1"/>
      <protection hidden="1"/>
    </xf>
    <xf numFmtId="0" fontId="234" fillId="17" borderId="79" xfId="0" applyFont="1" applyFill="1" applyBorder="1" applyAlignment="1" applyProtection="1">
      <alignment vertical="center"/>
      <protection hidden="1"/>
    </xf>
    <xf numFmtId="0" fontId="199" fillId="17" borderId="32" xfId="0" applyFont="1" applyFill="1" applyBorder="1" applyAlignment="1" applyProtection="1">
      <alignment horizontal="left"/>
      <protection hidden="1"/>
    </xf>
    <xf numFmtId="0" fontId="199" fillId="18" borderId="10" xfId="0" applyFont="1" applyFill="1" applyBorder="1" applyAlignment="1" applyProtection="1">
      <alignment horizontal="center" vertical="center"/>
      <protection hidden="1"/>
    </xf>
    <xf numFmtId="3" fontId="240" fillId="33" borderId="3" xfId="0" applyNumberFormat="1" applyFont="1" applyFill="1" applyBorder="1" applyAlignment="1" applyProtection="1">
      <alignment horizontal="right" wrapText="1"/>
      <protection locked="0"/>
    </xf>
    <xf numFmtId="3" fontId="199" fillId="18" borderId="67" xfId="0" applyNumberFormat="1" applyFont="1" applyFill="1" applyBorder="1" applyAlignment="1" applyProtection="1">
      <alignment vertical="center"/>
      <protection hidden="1"/>
    </xf>
    <xf numFmtId="3" fontId="236" fillId="33" borderId="3" xfId="0" applyNumberFormat="1" applyFont="1" applyFill="1" applyBorder="1" applyAlignment="1" applyProtection="1">
      <alignment horizontal="right" wrapText="1"/>
      <protection locked="0"/>
    </xf>
    <xf numFmtId="0" fontId="199" fillId="17" borderId="61" xfId="0" applyFont="1" applyFill="1" applyBorder="1" applyAlignment="1" applyProtection="1">
      <alignment horizontal="left" vertical="center"/>
      <protection hidden="1"/>
    </xf>
    <xf numFmtId="3" fontId="234" fillId="17" borderId="67" xfId="0" applyNumberFormat="1" applyFont="1" applyFill="1" applyBorder="1" applyAlignment="1" applyProtection="1">
      <alignment horizontal="right" vertical="center"/>
      <protection hidden="1"/>
    </xf>
    <xf numFmtId="3" fontId="234" fillId="17" borderId="60" xfId="0" applyNumberFormat="1" applyFont="1" applyFill="1" applyBorder="1" applyAlignment="1" applyProtection="1">
      <alignment horizontal="right" vertical="center"/>
      <protection hidden="1"/>
    </xf>
    <xf numFmtId="3" fontId="199" fillId="17" borderId="67" xfId="0" applyNumberFormat="1" applyFont="1" applyFill="1" applyBorder="1" applyAlignment="1" applyProtection="1">
      <alignment horizontal="right" vertical="center" wrapText="1"/>
      <protection hidden="1"/>
    </xf>
    <xf numFmtId="3" fontId="236" fillId="33" borderId="11" xfId="0" applyNumberFormat="1" applyFont="1" applyFill="1" applyBorder="1" applyAlignment="1" applyProtection="1">
      <alignment horizontal="right"/>
      <protection locked="0"/>
    </xf>
    <xf numFmtId="3" fontId="236" fillId="33" borderId="3" xfId="0" applyNumberFormat="1" applyFont="1" applyFill="1" applyBorder="1" applyAlignment="1" applyProtection="1">
      <alignment horizontal="right"/>
      <protection locked="0"/>
    </xf>
    <xf numFmtId="3" fontId="240" fillId="33" borderId="11" xfId="0" applyNumberFormat="1" applyFont="1" applyFill="1" applyBorder="1" applyAlignment="1" applyProtection="1">
      <alignment horizontal="right"/>
      <protection locked="0"/>
    </xf>
    <xf numFmtId="3" fontId="240" fillId="33" borderId="3" xfId="0" applyNumberFormat="1" applyFont="1" applyFill="1" applyBorder="1" applyAlignment="1" applyProtection="1">
      <alignment horizontal="right"/>
      <protection locked="0"/>
    </xf>
    <xf numFmtId="0" fontId="199" fillId="18" borderId="12" xfId="0" applyFont="1" applyFill="1" applyBorder="1" applyAlignment="1" applyProtection="1">
      <alignment horizontal="center" vertical="center"/>
      <protection hidden="1"/>
    </xf>
    <xf numFmtId="0" fontId="188" fillId="0" borderId="3" xfId="0" applyFont="1" applyBorder="1" applyAlignment="1">
      <alignment horizontal="center" vertical="center"/>
    </xf>
    <xf numFmtId="0" fontId="188" fillId="0" borderId="3" xfId="0" applyFont="1" applyBorder="1" applyAlignment="1">
      <alignment vertical="center" wrapText="1"/>
    </xf>
    <xf numFmtId="10" fontId="188" fillId="32" borderId="3" xfId="0" applyNumberFormat="1" applyFont="1" applyFill="1" applyBorder="1" applyAlignment="1">
      <alignment vertical="center"/>
    </xf>
    <xf numFmtId="0" fontId="188" fillId="0" borderId="3" xfId="0" applyFont="1" applyBorder="1" applyAlignment="1">
      <alignment horizontal="center" vertical="center" wrapText="1"/>
    </xf>
    <xf numFmtId="3" fontId="234" fillId="17" borderId="67" xfId="0" applyNumberFormat="1" applyFont="1" applyFill="1" applyBorder="1" applyAlignment="1" applyProtection="1">
      <alignment horizontal="right" vertical="center" wrapText="1"/>
      <protection hidden="1"/>
    </xf>
    <xf numFmtId="3" fontId="28" fillId="17" borderId="51" xfId="0" applyNumberFormat="1" applyFont="1" applyFill="1" applyBorder="1" applyAlignment="1" applyProtection="1">
      <alignment horizontal="right"/>
      <protection hidden="1"/>
    </xf>
    <xf numFmtId="3" fontId="28" fillId="17" borderId="49" xfId="0" applyNumberFormat="1" applyFont="1" applyFill="1" applyBorder="1" applyAlignment="1" applyProtection="1">
      <alignment horizontal="right"/>
      <protection hidden="1"/>
    </xf>
    <xf numFmtId="0" fontId="28" fillId="17" borderId="50" xfId="0" applyFont="1" applyFill="1" applyBorder="1" applyAlignment="1" applyProtection="1">
      <alignment horizontal="right"/>
      <protection hidden="1"/>
    </xf>
    <xf numFmtId="0" fontId="28" fillId="17" borderId="49" xfId="0" applyFont="1" applyFill="1" applyBorder="1" applyAlignment="1" applyProtection="1">
      <alignment horizontal="right"/>
      <protection hidden="1"/>
    </xf>
    <xf numFmtId="0" fontId="28" fillId="17" borderId="52" xfId="0" applyFont="1" applyFill="1" applyBorder="1" applyAlignment="1" applyProtection="1">
      <alignment horizontal="right"/>
      <protection hidden="1"/>
    </xf>
    <xf numFmtId="0" fontId="152" fillId="17" borderId="51" xfId="0" applyFont="1" applyFill="1" applyBorder="1" applyProtection="1">
      <protection hidden="1"/>
    </xf>
    <xf numFmtId="0" fontId="152" fillId="17" borderId="52" xfId="0" applyFont="1" applyFill="1" applyBorder="1" applyProtection="1">
      <protection hidden="1"/>
    </xf>
    <xf numFmtId="0" fontId="152" fillId="17" borderId="49" xfId="0" applyFont="1" applyFill="1" applyBorder="1" applyProtection="1">
      <protection hidden="1"/>
    </xf>
    <xf numFmtId="3" fontId="42" fillId="17" borderId="49" xfId="0" applyNumberFormat="1" applyFont="1" applyFill="1" applyBorder="1" applyAlignment="1" applyProtection="1">
      <alignment horizontal="right" vertical="center"/>
      <protection hidden="1"/>
    </xf>
    <xf numFmtId="4" fontId="42" fillId="17" borderId="49" xfId="0" applyNumberFormat="1" applyFont="1" applyFill="1" applyBorder="1" applyAlignment="1" applyProtection="1">
      <alignment horizontal="right" vertical="center"/>
      <protection hidden="1"/>
    </xf>
    <xf numFmtId="3" fontId="42" fillId="17" borderId="51" xfId="0" applyNumberFormat="1" applyFont="1" applyFill="1" applyBorder="1" applyAlignment="1" applyProtection="1">
      <alignment horizontal="right" vertical="center"/>
      <protection hidden="1"/>
    </xf>
    <xf numFmtId="37" fontId="42" fillId="17" borderId="50" xfId="0" applyNumberFormat="1" applyFont="1" applyFill="1" applyBorder="1" applyAlignment="1" applyProtection="1">
      <alignment horizontal="right" vertical="center"/>
      <protection hidden="1"/>
    </xf>
    <xf numFmtId="37" fontId="42" fillId="17" borderId="49" xfId="0" applyNumberFormat="1" applyFont="1" applyFill="1" applyBorder="1" applyAlignment="1" applyProtection="1">
      <alignment horizontal="right" vertical="center"/>
      <protection hidden="1"/>
    </xf>
    <xf numFmtId="37" fontId="42" fillId="17" borderId="51" xfId="0" applyNumberFormat="1" applyFont="1" applyFill="1" applyBorder="1" applyAlignment="1" applyProtection="1">
      <alignment horizontal="right" vertical="center"/>
      <protection hidden="1"/>
    </xf>
    <xf numFmtId="4" fontId="42" fillId="17" borderId="52" xfId="0" applyNumberFormat="1" applyFont="1" applyFill="1" applyBorder="1" applyAlignment="1" applyProtection="1">
      <alignment horizontal="right" vertical="center"/>
      <protection hidden="1"/>
    </xf>
    <xf numFmtId="37" fontId="28" fillId="17" borderId="49" xfId="0" applyNumberFormat="1" applyFont="1" applyFill="1" applyBorder="1" applyAlignment="1" applyProtection="1">
      <alignment horizontal="right"/>
      <protection hidden="1"/>
    </xf>
    <xf numFmtId="37" fontId="28" fillId="17" borderId="51" xfId="0" applyNumberFormat="1" applyFont="1" applyFill="1" applyBorder="1" applyAlignment="1" applyProtection="1">
      <alignment horizontal="right"/>
      <protection hidden="1"/>
    </xf>
    <xf numFmtId="0" fontId="241" fillId="17" borderId="54" xfId="0" applyFont="1" applyFill="1" applyBorder="1" applyProtection="1">
      <protection hidden="1"/>
    </xf>
    <xf numFmtId="0" fontId="241" fillId="17" borderId="55" xfId="0" applyFont="1" applyFill="1" applyBorder="1" applyProtection="1">
      <protection hidden="1"/>
    </xf>
    <xf numFmtId="0" fontId="241" fillId="17" borderId="56" xfId="0" applyFont="1" applyFill="1" applyBorder="1" applyProtection="1">
      <protection hidden="1"/>
    </xf>
    <xf numFmtId="0" fontId="241" fillId="17" borderId="57" xfId="0" applyFont="1" applyFill="1" applyBorder="1" applyProtection="1">
      <protection hidden="1"/>
    </xf>
    <xf numFmtId="0" fontId="26" fillId="17" borderId="0" xfId="0" applyFont="1" applyFill="1" applyAlignment="1" applyProtection="1">
      <alignment vertical="center"/>
    </xf>
    <xf numFmtId="0" fontId="209" fillId="0" borderId="0" xfId="0" applyFont="1" applyAlignment="1">
      <alignment vertical="top" wrapText="1"/>
    </xf>
    <xf numFmtId="0" fontId="172" fillId="0" borderId="14" xfId="0" applyFont="1" applyFill="1" applyBorder="1" applyAlignment="1">
      <alignment vertical="center"/>
    </xf>
    <xf numFmtId="0" fontId="172" fillId="0" borderId="15" xfId="0" applyFont="1" applyFill="1" applyBorder="1" applyAlignment="1">
      <alignment vertical="center"/>
    </xf>
    <xf numFmtId="0" fontId="209" fillId="0" borderId="0" xfId="0" applyFont="1" applyAlignment="1">
      <alignment vertical="top" wrapText="1"/>
    </xf>
    <xf numFmtId="0" fontId="209" fillId="0" borderId="0" xfId="0" applyFont="1" applyFill="1" applyAlignment="1">
      <alignment vertical="top" wrapText="1"/>
    </xf>
    <xf numFmtId="0" fontId="172" fillId="0" borderId="14" xfId="0" applyFont="1" applyFill="1" applyBorder="1" applyAlignment="1">
      <alignment vertical="center"/>
    </xf>
    <xf numFmtId="0" fontId="172" fillId="0" borderId="15" xfId="0" applyFont="1" applyFill="1" applyBorder="1" applyAlignment="1">
      <alignment vertical="center"/>
    </xf>
    <xf numFmtId="0" fontId="218" fillId="0" borderId="0" xfId="0" applyFont="1" applyAlignment="1">
      <alignment horizontal="left" vertical="top" wrapText="1"/>
    </xf>
    <xf numFmtId="165" fontId="98" fillId="31" borderId="61" xfId="1" applyNumberFormat="1" applyFont="1" applyFill="1" applyBorder="1" applyAlignment="1" applyProtection="1">
      <alignment vertical="center"/>
    </xf>
    <xf numFmtId="165" fontId="36" fillId="33" borderId="86" xfId="0" applyNumberFormat="1" applyFont="1" applyFill="1" applyBorder="1" applyAlignment="1" applyProtection="1">
      <protection locked="0"/>
    </xf>
    <xf numFmtId="169" fontId="187" fillId="6" borderId="3" xfId="0" applyNumberFormat="1" applyFont="1" applyFill="1" applyBorder="1" applyAlignment="1">
      <alignment horizontal="center" vertical="center"/>
    </xf>
    <xf numFmtId="0" fontId="153" fillId="0" borderId="0" xfId="0" applyFont="1" applyAlignment="1">
      <alignment horizontal="left" wrapText="1"/>
    </xf>
    <xf numFmtId="0" fontId="153" fillId="0" borderId="3" xfId="0" applyFont="1" applyBorder="1" applyAlignment="1">
      <alignment horizontal="center" wrapText="1"/>
    </xf>
    <xf numFmtId="0" fontId="154" fillId="37" borderId="3" xfId="0" applyFont="1" applyFill="1" applyBorder="1" applyAlignment="1">
      <alignment horizontal="center" wrapText="1"/>
    </xf>
    <xf numFmtId="0" fontId="153" fillId="37" borderId="3" xfId="0" applyFont="1" applyFill="1" applyBorder="1" applyAlignment="1">
      <alignment horizontal="center" wrapText="1"/>
    </xf>
    <xf numFmtId="169" fontId="187" fillId="2" borderId="3" xfId="0" applyNumberFormat="1" applyFont="1" applyFill="1" applyBorder="1" applyAlignment="1">
      <alignment horizontal="center" vertical="center"/>
    </xf>
    <xf numFmtId="0" fontId="172" fillId="0" borderId="12" xfId="0" applyFont="1" applyFill="1" applyBorder="1" applyAlignment="1">
      <alignment horizontal="center"/>
    </xf>
    <xf numFmtId="165" fontId="172" fillId="0" borderId="3" xfId="1" applyFont="1" applyFill="1" applyBorder="1" applyAlignment="1">
      <alignment vertical="top"/>
    </xf>
    <xf numFmtId="165" fontId="189" fillId="34" borderId="3" xfId="1" applyFont="1" applyFill="1" applyBorder="1" applyAlignment="1">
      <alignment horizontal="right" vertical="center"/>
    </xf>
    <xf numFmtId="165" fontId="187" fillId="33" borderId="3" xfId="1" applyFont="1" applyFill="1" applyBorder="1" applyAlignment="1">
      <alignment horizontal="right"/>
    </xf>
    <xf numFmtId="0" fontId="36" fillId="37" borderId="12" xfId="0" applyFont="1" applyFill="1" applyBorder="1" applyAlignment="1">
      <alignment horizontal="center" vertical="center"/>
    </xf>
    <xf numFmtId="165" fontId="97" fillId="33" borderId="83" xfId="1" applyFont="1" applyFill="1" applyBorder="1" applyAlignment="1">
      <alignment vertical="center"/>
    </xf>
    <xf numFmtId="165" fontId="153" fillId="34" borderId="3" xfId="1" applyFont="1" applyFill="1" applyBorder="1" applyAlignment="1">
      <alignment horizontal="center" vertical="center"/>
    </xf>
    <xf numFmtId="49" fontId="9" fillId="3" borderId="167" xfId="0" applyNumberFormat="1" applyFont="1" applyFill="1" applyBorder="1" applyAlignment="1">
      <alignment horizontal="center" vertical="top" wrapText="1"/>
    </xf>
    <xf numFmtId="0" fontId="17" fillId="3" borderId="86" xfId="0" applyFont="1" applyFill="1" applyBorder="1" applyAlignment="1">
      <alignment horizontal="center" vertical="top"/>
    </xf>
    <xf numFmtId="0" fontId="9" fillId="3" borderId="167" xfId="0" applyFont="1" applyFill="1" applyBorder="1" applyAlignment="1">
      <alignment horizontal="left" vertical="top" wrapText="1"/>
    </xf>
    <xf numFmtId="0" fontId="0" fillId="3" borderId="0" xfId="0" applyFont="1" applyFill="1" applyAlignment="1" applyProtection="1">
      <alignment horizontal="center" vertical="top"/>
      <protection hidden="1"/>
    </xf>
    <xf numFmtId="49" fontId="9" fillId="3" borderId="167" xfId="0" quotePrefix="1" applyNumberFormat="1" applyFont="1" applyFill="1" applyBorder="1" applyAlignment="1">
      <alignment horizontal="center" vertical="top" wrapText="1"/>
    </xf>
    <xf numFmtId="0" fontId="0" fillId="0" borderId="0" xfId="0" quotePrefix="1" applyFill="1" applyAlignment="1" applyProtection="1">
      <alignment vertical="top"/>
      <protection hidden="1"/>
    </xf>
    <xf numFmtId="0" fontId="0" fillId="0" borderId="0" xfId="0" applyFill="1" applyAlignment="1" applyProtection="1">
      <alignment vertical="top"/>
      <protection hidden="1"/>
    </xf>
    <xf numFmtId="0" fontId="153" fillId="0" borderId="0" xfId="0" applyFont="1" applyFill="1" applyAlignment="1">
      <alignment horizontal="justify" vertical="top" wrapText="1"/>
    </xf>
    <xf numFmtId="0" fontId="209" fillId="0" borderId="0" xfId="0" applyFont="1" applyAlignment="1">
      <alignment vertical="top" wrapText="1"/>
    </xf>
    <xf numFmtId="0" fontId="153" fillId="0" borderId="0" xfId="0" applyFont="1" applyAlignment="1">
      <alignment horizontal="left" wrapText="1"/>
    </xf>
    <xf numFmtId="0" fontId="153" fillId="0" borderId="0" xfId="0" applyFont="1" applyFill="1" applyBorder="1"/>
    <xf numFmtId="0" fontId="153" fillId="0" borderId="0" xfId="0" applyFont="1" applyFill="1" applyBorder="1" applyAlignment="1">
      <alignment horizontal="justify" vertical="top" wrapText="1"/>
    </xf>
    <xf numFmtId="0" fontId="153" fillId="0" borderId="0" xfId="0" applyFont="1" applyFill="1" applyBorder="1" applyAlignment="1">
      <alignment wrapText="1"/>
    </xf>
    <xf numFmtId="0" fontId="156" fillId="0" borderId="0" xfId="0" applyFont="1" applyFill="1" applyBorder="1"/>
    <xf numFmtId="0" fontId="157" fillId="0" borderId="0" xfId="0" applyFont="1" applyFill="1" applyBorder="1"/>
    <xf numFmtId="0" fontId="158" fillId="0" borderId="0" xfId="0" applyFont="1" applyFill="1" applyBorder="1"/>
    <xf numFmtId="0" fontId="154" fillId="0" borderId="0" xfId="0" applyFont="1" applyFill="1" applyBorder="1" applyAlignment="1">
      <alignment wrapText="1"/>
    </xf>
    <xf numFmtId="170" fontId="153" fillId="0" borderId="3" xfId="0" applyNumberFormat="1" applyFont="1" applyBorder="1" applyAlignment="1">
      <alignment horizontal="center" wrapText="1"/>
    </xf>
    <xf numFmtId="0" fontId="153" fillId="0" borderId="0" xfId="0" applyFont="1" applyFill="1" applyAlignment="1">
      <alignment horizontal="center" vertical="top"/>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ill="1" applyAlignment="1">
      <alignment horizontal="left" vertical="top" wrapText="1"/>
    </xf>
    <xf numFmtId="3" fontId="0" fillId="0" borderId="0" xfId="0" applyNumberFormat="1" applyFill="1" applyAlignment="1">
      <alignment vertical="top" wrapText="1"/>
    </xf>
    <xf numFmtId="0" fontId="209" fillId="0" borderId="0" xfId="0" applyFont="1" applyAlignment="1">
      <alignment vertical="top" wrapText="1"/>
    </xf>
    <xf numFmtId="0" fontId="172" fillId="0" borderId="14" xfId="0" applyFont="1" applyFill="1" applyBorder="1" applyAlignment="1">
      <alignment vertical="center"/>
    </xf>
    <xf numFmtId="0" fontId="172" fillId="0" borderId="15" xfId="0" applyFont="1" applyFill="1" applyBorder="1" applyAlignment="1">
      <alignment vertical="center"/>
    </xf>
    <xf numFmtId="165" fontId="209" fillId="0" borderId="0" xfId="0" applyNumberFormat="1" applyFont="1" applyFill="1" applyAlignment="1">
      <alignment horizontal="left" vertical="top" wrapText="1"/>
    </xf>
    <xf numFmtId="0" fontId="174" fillId="0" borderId="0" xfId="0" applyFont="1" applyFill="1" applyAlignment="1">
      <alignment horizontal="justify" vertical="top" wrapText="1"/>
    </xf>
    <xf numFmtId="0" fontId="209" fillId="0" borderId="0" xfId="0" applyFont="1" applyAlignment="1">
      <alignment horizontal="left" vertical="top" wrapText="1"/>
    </xf>
    <xf numFmtId="0" fontId="209" fillId="0" borderId="0" xfId="0" applyFont="1" applyAlignment="1">
      <alignment vertical="top" wrapText="1"/>
    </xf>
    <xf numFmtId="0" fontId="172" fillId="0" borderId="14" xfId="0" applyFont="1" applyFill="1" applyBorder="1" applyAlignment="1">
      <alignment vertical="center"/>
    </xf>
    <xf numFmtId="0" fontId="172" fillId="0" borderId="15" xfId="0" applyFont="1" applyFill="1" applyBorder="1" applyAlignment="1">
      <alignment vertical="center"/>
    </xf>
    <xf numFmtId="0" fontId="176" fillId="0" borderId="0" xfId="0" applyFont="1" applyAlignment="1">
      <alignment horizontal="justify" vertical="top" wrapText="1"/>
    </xf>
    <xf numFmtId="0" fontId="153" fillId="0" borderId="3" xfId="0" quotePrefix="1" applyFont="1" applyBorder="1" applyAlignment="1">
      <alignment horizontal="center" wrapText="1"/>
    </xf>
    <xf numFmtId="0" fontId="174" fillId="0" borderId="0" xfId="0" applyFont="1" applyFill="1" applyAlignment="1">
      <alignment horizontal="center" vertical="top"/>
    </xf>
    <xf numFmtId="0" fontId="97" fillId="29" borderId="3" xfId="0" applyFont="1" applyFill="1" applyBorder="1" applyAlignment="1">
      <alignment horizontal="center" vertical="center"/>
    </xf>
    <xf numFmtId="0" fontId="209" fillId="0" borderId="0" xfId="0" applyFont="1" applyAlignment="1">
      <alignment vertical="top" wrapText="1"/>
    </xf>
    <xf numFmtId="0" fontId="172" fillId="0" borderId="14" xfId="0" applyFont="1" applyFill="1" applyBorder="1" applyAlignment="1">
      <alignment vertical="center"/>
    </xf>
    <xf numFmtId="0" fontId="172" fillId="0" borderId="15" xfId="0" applyFont="1" applyFill="1" applyBorder="1" applyAlignment="1">
      <alignment vertical="center"/>
    </xf>
    <xf numFmtId="0" fontId="209" fillId="0" borderId="0" xfId="0" applyFont="1" applyAlignment="1">
      <alignment horizontal="left" vertical="top" wrapText="1"/>
    </xf>
    <xf numFmtId="0" fontId="209" fillId="0" borderId="0" xfId="0" applyFont="1" applyAlignment="1">
      <alignment vertical="top" wrapText="1"/>
    </xf>
    <xf numFmtId="0" fontId="153" fillId="0" borderId="0" xfId="0" applyFont="1" applyAlignment="1">
      <alignment horizontal="left" vertical="top" wrapText="1"/>
    </xf>
    <xf numFmtId="0" fontId="154" fillId="2" borderId="3" xfId="0" applyFont="1" applyFill="1" applyBorder="1" applyAlignment="1">
      <alignment horizontal="center" vertical="center"/>
    </xf>
    <xf numFmtId="0" fontId="176" fillId="0" borderId="0" xfId="0" applyFont="1" applyAlignment="1">
      <alignment horizontal="justify" vertical="top" wrapText="1"/>
    </xf>
    <xf numFmtId="0" fontId="0" fillId="17" borderId="0" xfId="0" applyFill="1" applyBorder="1"/>
    <xf numFmtId="0" fontId="37" fillId="37" borderId="13" xfId="0" applyFont="1" applyFill="1" applyBorder="1" applyAlignment="1">
      <alignment horizontal="left" vertical="center"/>
    </xf>
    <xf numFmtId="0" fontId="153" fillId="0" borderId="0" xfId="0" applyFont="1" applyAlignment="1">
      <alignment horizontal="justify" vertical="top" wrapText="1"/>
    </xf>
    <xf numFmtId="0" fontId="0" fillId="0" borderId="0" xfId="0" applyAlignment="1">
      <alignment horizontal="left" vertical="top" wrapText="1"/>
    </xf>
    <xf numFmtId="0" fontId="187" fillId="6" borderId="3" xfId="0" applyFont="1" applyFill="1" applyBorder="1" applyAlignment="1">
      <alignment horizontal="center" vertical="center"/>
    </xf>
    <xf numFmtId="0" fontId="129" fillId="0" borderId="0" xfId="0" applyFont="1"/>
    <xf numFmtId="0" fontId="209" fillId="0" borderId="0" xfId="0" applyFont="1" applyAlignment="1">
      <alignment horizontal="left" vertical="top" wrapText="1"/>
    </xf>
    <xf numFmtId="165" fontId="153" fillId="0" borderId="3" xfId="1" applyFont="1" applyFill="1" applyBorder="1" applyAlignment="1">
      <alignment horizontal="right"/>
    </xf>
    <xf numFmtId="0" fontId="209" fillId="0" borderId="0" xfId="0" applyFont="1" applyAlignment="1">
      <alignment vertical="top" wrapText="1"/>
    </xf>
    <xf numFmtId="0" fontId="153" fillId="0" borderId="0" xfId="0" applyFont="1" applyAlignment="1">
      <alignment horizontal="center"/>
    </xf>
    <xf numFmtId="0" fontId="0" fillId="0" borderId="0" xfId="0" applyAlignment="1">
      <alignment vertical="top" wrapText="1"/>
    </xf>
    <xf numFmtId="15" fontId="187" fillId="6" borderId="14" xfId="0" applyNumberFormat="1" applyFont="1" applyFill="1" applyBorder="1" applyAlignment="1">
      <alignment horizontal="center" vertical="center"/>
    </xf>
    <xf numFmtId="0" fontId="60" fillId="16" borderId="0" xfId="0" applyFont="1" applyFill="1" applyBorder="1" applyAlignment="1">
      <alignment horizontal="center" vertical="top" wrapText="1"/>
    </xf>
    <xf numFmtId="0" fontId="0" fillId="0" borderId="0" xfId="0" applyNumberFormat="1" applyFont="1" applyFill="1" applyAlignment="1">
      <alignment horizontal="left" vertical="top"/>
    </xf>
    <xf numFmtId="0" fontId="173" fillId="0" borderId="0" xfId="0" applyFont="1" applyBorder="1" applyAlignment="1">
      <alignment vertical="top"/>
    </xf>
    <xf numFmtId="0" fontId="173" fillId="0" borderId="82" xfId="0" applyFont="1" applyBorder="1" applyAlignment="1">
      <alignment vertical="top"/>
    </xf>
    <xf numFmtId="165" fontId="154" fillId="33" borderId="10" xfId="1" applyFont="1" applyFill="1" applyBorder="1" applyAlignment="1">
      <alignment horizontal="right" vertical="center"/>
    </xf>
    <xf numFmtId="0" fontId="154" fillId="6" borderId="14" xfId="0" applyFont="1" applyFill="1" applyBorder="1" applyAlignment="1">
      <alignment horizontal="center" vertical="center" wrapText="1"/>
    </xf>
    <xf numFmtId="0" fontId="153" fillId="34" borderId="3" xfId="0" applyFont="1" applyFill="1" applyBorder="1" applyAlignment="1">
      <alignment vertical="center"/>
    </xf>
    <xf numFmtId="0" fontId="187" fillId="33" borderId="3" xfId="0" applyFont="1" applyFill="1" applyBorder="1" applyAlignment="1"/>
    <xf numFmtId="0" fontId="172" fillId="0" borderId="14" xfId="0" applyFont="1" applyFill="1" applyBorder="1" applyAlignment="1">
      <alignment vertical="center"/>
    </xf>
    <xf numFmtId="0" fontId="172" fillId="0" borderId="15" xfId="0" applyFont="1" applyFill="1" applyBorder="1" applyAlignment="1">
      <alignment vertical="center"/>
    </xf>
    <xf numFmtId="0" fontId="209" fillId="0" borderId="0" xfId="0" applyFont="1" applyAlignment="1">
      <alignment vertical="top" wrapText="1"/>
    </xf>
    <xf numFmtId="15" fontId="172" fillId="0" borderId="14" xfId="0" applyNumberFormat="1" applyFont="1" applyFill="1" applyBorder="1" applyAlignment="1">
      <alignment vertical="center"/>
    </xf>
    <xf numFmtId="0" fontId="185" fillId="0" borderId="0" xfId="0" applyFont="1" applyAlignment="1">
      <alignment horizontal="left"/>
    </xf>
    <xf numFmtId="15" fontId="172" fillId="0" borderId="3" xfId="0" applyNumberFormat="1" applyFont="1" applyFill="1" applyBorder="1" applyAlignment="1">
      <alignment vertical="center"/>
    </xf>
    <xf numFmtId="0" fontId="153" fillId="0" borderId="0" xfId="0" applyFont="1" applyBorder="1" applyAlignment="1">
      <alignment horizontal="center" vertical="top" wrapText="1"/>
    </xf>
    <xf numFmtId="165" fontId="187" fillId="34" borderId="3" xfId="1" applyNumberFormat="1" applyFont="1" applyFill="1" applyBorder="1" applyAlignment="1">
      <alignment horizontal="right" vertical="center"/>
    </xf>
    <xf numFmtId="0" fontId="0" fillId="37" borderId="12" xfId="0" applyFill="1" applyBorder="1" applyAlignment="1">
      <alignment horizontal="center" vertical="center"/>
    </xf>
    <xf numFmtId="0" fontId="216" fillId="0" borderId="0" xfId="0" applyFont="1" applyAlignment="1">
      <alignment vertical="top" wrapText="1"/>
    </xf>
    <xf numFmtId="0" fontId="245" fillId="0" borderId="14" xfId="0" applyFont="1" applyBorder="1" applyAlignment="1">
      <alignment vertical="center" wrapText="1"/>
    </xf>
    <xf numFmtId="0" fontId="174" fillId="6" borderId="3" xfId="0" applyFont="1" applyFill="1" applyBorder="1" applyAlignment="1">
      <alignment horizontal="center" vertical="center" wrapText="1"/>
    </xf>
    <xf numFmtId="165" fontId="245" fillId="42" borderId="15" xfId="0" applyNumberFormat="1" applyFont="1" applyFill="1" applyBorder="1" applyAlignment="1">
      <alignment horizontal="left" vertical="top" wrapText="1"/>
    </xf>
    <xf numFmtId="165" fontId="245" fillId="33" borderId="15" xfId="0" applyNumberFormat="1" applyFont="1" applyFill="1" applyBorder="1" applyAlignment="1">
      <alignment horizontal="left" vertical="top" wrapText="1"/>
    </xf>
    <xf numFmtId="0" fontId="185" fillId="0" borderId="0" xfId="0" applyFont="1" applyFill="1" applyBorder="1" applyAlignment="1">
      <alignment horizontal="center"/>
    </xf>
    <xf numFmtId="0" fontId="185" fillId="0" borderId="0" xfId="0" applyFont="1" applyFill="1" applyBorder="1"/>
    <xf numFmtId="3" fontId="153" fillId="34" borderId="14" xfId="0" applyNumberFormat="1" applyFont="1" applyFill="1" applyBorder="1" applyAlignment="1">
      <alignment vertical="center"/>
    </xf>
    <xf numFmtId="3" fontId="187" fillId="33" borderId="14" xfId="2" applyNumberFormat="1" applyFont="1" applyFill="1" applyBorder="1" applyAlignment="1">
      <alignment vertical="center"/>
    </xf>
    <xf numFmtId="0" fontId="26" fillId="17" borderId="0" xfId="0" applyFont="1" applyFill="1" applyAlignment="1" applyProtection="1">
      <alignment vertical="center"/>
    </xf>
    <xf numFmtId="0" fontId="192" fillId="0" borderId="0" xfId="0" applyFont="1" applyAlignment="1">
      <alignment wrapText="1"/>
    </xf>
    <xf numFmtId="0" fontId="153" fillId="9" borderId="0" xfId="0" applyFont="1" applyFill="1" applyAlignment="1">
      <alignment vertical="top" wrapText="1"/>
    </xf>
    <xf numFmtId="0" fontId="129" fillId="0" borderId="0" xfId="0" applyFont="1"/>
    <xf numFmtId="0" fontId="0" fillId="0" borderId="0" xfId="0" applyAlignment="1">
      <alignment horizontal="justify" vertical="top" wrapText="1"/>
    </xf>
    <xf numFmtId="0" fontId="153" fillId="0" borderId="0" xfId="0" applyFont="1" applyAlignment="1">
      <alignment horizontal="justify" vertical="top" wrapText="1"/>
    </xf>
    <xf numFmtId="0" fontId="209" fillId="0" borderId="0" xfId="0" applyFont="1" applyAlignment="1">
      <alignment horizontal="left" vertical="top" wrapText="1"/>
    </xf>
    <xf numFmtId="0" fontId="209" fillId="0" borderId="0" xfId="0" applyFont="1" applyFill="1" applyAlignment="1">
      <alignment vertical="top" wrapText="1"/>
    </xf>
    <xf numFmtId="0" fontId="153" fillId="0" borderId="0" xfId="0" applyFont="1" applyAlignment="1">
      <alignment horizontal="left" vertical="top" wrapText="1"/>
    </xf>
    <xf numFmtId="0" fontId="17" fillId="5" borderId="0" xfId="0" applyFont="1" applyFill="1" applyBorder="1" applyAlignment="1" applyProtection="1"/>
    <xf numFmtId="3" fontId="36" fillId="43" borderId="86" xfId="0" applyNumberFormat="1" applyFont="1" applyFill="1" applyBorder="1" applyAlignment="1" applyProtection="1">
      <protection locked="0"/>
    </xf>
    <xf numFmtId="0" fontId="230" fillId="5" borderId="82" xfId="0" applyFont="1" applyFill="1" applyBorder="1" applyAlignment="1" applyProtection="1">
      <alignment horizontal="left" vertical="center"/>
    </xf>
    <xf numFmtId="165" fontId="100" fillId="31" borderId="3" xfId="0" applyNumberFormat="1" applyFont="1" applyFill="1" applyBorder="1" applyAlignment="1" applyProtection="1">
      <alignment vertical="center"/>
    </xf>
    <xf numFmtId="165" fontId="97" fillId="31" borderId="12" xfId="1" applyFont="1" applyFill="1" applyBorder="1" applyAlignment="1">
      <alignment vertical="center"/>
    </xf>
    <xf numFmtId="165" fontId="97" fillId="31" borderId="12" xfId="1" applyFont="1" applyFill="1" applyBorder="1" applyAlignment="1">
      <alignment horizontal="center" vertical="center"/>
    </xf>
    <xf numFmtId="0" fontId="243" fillId="0" borderId="0" xfId="0" applyFont="1" applyAlignment="1">
      <alignment horizontal="center" vertical="top" wrapText="1"/>
    </xf>
    <xf numFmtId="0" fontId="154" fillId="0" borderId="0" xfId="0" applyFont="1" applyAlignment="1">
      <alignment horizontal="center" vertical="center"/>
    </xf>
    <xf numFmtId="0" fontId="157" fillId="0" borderId="0" xfId="0" applyFont="1" applyAlignment="1">
      <alignment vertical="center"/>
    </xf>
    <xf numFmtId="0" fontId="176" fillId="0" borderId="0" xfId="0" applyFont="1" applyAlignment="1">
      <alignment vertical="center"/>
    </xf>
    <xf numFmtId="165" fontId="248" fillId="33" borderId="15" xfId="0" applyNumberFormat="1" applyFont="1" applyFill="1" applyBorder="1" applyAlignment="1">
      <alignment horizontal="left" vertical="top" wrapText="1"/>
    </xf>
    <xf numFmtId="0" fontId="9" fillId="0" borderId="204" xfId="0" applyFont="1" applyBorder="1" applyAlignment="1">
      <alignment vertical="top"/>
    </xf>
    <xf numFmtId="0" fontId="0" fillId="0" borderId="204" xfId="0" applyBorder="1" applyAlignment="1">
      <alignment vertical="top"/>
    </xf>
    <xf numFmtId="165" fontId="188" fillId="31" borderId="3" xfId="0" applyNumberFormat="1" applyFont="1" applyFill="1" applyBorder="1" applyAlignment="1">
      <alignment vertical="center"/>
    </xf>
    <xf numFmtId="165" fontId="188" fillId="26" borderId="3" xfId="0" applyNumberFormat="1" applyFont="1" applyFill="1" applyBorder="1" applyAlignment="1">
      <alignment vertical="center"/>
    </xf>
    <xf numFmtId="165" fontId="190" fillId="33" borderId="3" xfId="0" applyNumberFormat="1" applyFont="1" applyFill="1" applyBorder="1" applyAlignment="1">
      <alignment horizontal="right" vertical="center"/>
    </xf>
    <xf numFmtId="0" fontId="200" fillId="0" borderId="0" xfId="0" applyFont="1" applyAlignment="1">
      <alignment vertical="center" wrapText="1"/>
    </xf>
    <xf numFmtId="165" fontId="172" fillId="26" borderId="3" xfId="0" applyNumberFormat="1" applyFont="1" applyFill="1" applyBorder="1" applyAlignment="1">
      <alignment vertical="top"/>
    </xf>
    <xf numFmtId="165" fontId="172" fillId="31" borderId="3" xfId="0" applyNumberFormat="1" applyFont="1" applyFill="1" applyBorder="1" applyAlignment="1">
      <alignment vertical="top"/>
    </xf>
    <xf numFmtId="165" fontId="187" fillId="33" borderId="3" xfId="0" applyNumberFormat="1" applyFont="1" applyFill="1" applyBorder="1" applyAlignment="1">
      <alignment horizontal="right" vertical="center"/>
    </xf>
    <xf numFmtId="165" fontId="189" fillId="31" borderId="3" xfId="0" applyNumberFormat="1" applyFont="1" applyFill="1" applyBorder="1" applyAlignment="1">
      <alignment horizontal="right" vertical="top"/>
    </xf>
    <xf numFmtId="165" fontId="188" fillId="26" borderId="3" xfId="0" applyNumberFormat="1" applyFont="1" applyFill="1" applyBorder="1" applyAlignment="1">
      <alignment horizontal="right" vertical="top"/>
    </xf>
    <xf numFmtId="165" fontId="189" fillId="31" borderId="3" xfId="0" applyNumberFormat="1" applyFont="1" applyFill="1" applyBorder="1" applyAlignment="1">
      <alignment horizontal="right" vertical="top" wrapText="1"/>
    </xf>
    <xf numFmtId="165" fontId="188" fillId="31" borderId="3" xfId="0" applyNumberFormat="1" applyFont="1" applyFill="1" applyBorder="1" applyAlignment="1">
      <alignment vertical="top"/>
    </xf>
    <xf numFmtId="165" fontId="188" fillId="26" borderId="3" xfId="0" applyNumberFormat="1" applyFont="1" applyFill="1" applyBorder="1" applyAlignment="1">
      <alignment vertical="top"/>
    </xf>
    <xf numFmtId="0" fontId="153" fillId="0" borderId="0" xfId="0" applyFont="1" applyAlignment="1">
      <alignment horizontal="right"/>
    </xf>
    <xf numFmtId="0" fontId="172" fillId="0" borderId="3" xfId="0" applyFont="1" applyFill="1" applyBorder="1" applyAlignment="1">
      <alignment horizontal="center" vertical="top"/>
    </xf>
    <xf numFmtId="165" fontId="172" fillId="34" borderId="3" xfId="1" applyFont="1" applyFill="1" applyBorder="1" applyAlignment="1">
      <alignment horizontal="right" vertical="top"/>
    </xf>
    <xf numFmtId="0" fontId="0" fillId="37" borderId="12" xfId="0" applyFill="1" applyBorder="1" applyAlignment="1">
      <alignment horizontal="center" vertical="top"/>
    </xf>
    <xf numFmtId="165" fontId="100" fillId="31" borderId="12" xfId="1" applyFont="1" applyFill="1" applyBorder="1" applyAlignment="1">
      <alignment vertical="top"/>
    </xf>
    <xf numFmtId="165" fontId="100" fillId="37" borderId="12" xfId="1" applyFont="1" applyFill="1" applyBorder="1" applyAlignment="1">
      <alignment vertical="top"/>
    </xf>
    <xf numFmtId="0" fontId="0" fillId="9" borderId="0" xfId="0" applyFill="1" applyAlignment="1">
      <alignment vertical="center"/>
    </xf>
    <xf numFmtId="0" fontId="144" fillId="37" borderId="0" xfId="0" applyFont="1" applyFill="1" applyAlignment="1">
      <alignment vertical="center"/>
    </xf>
    <xf numFmtId="15" fontId="172" fillId="0" borderId="14" xfId="0" applyNumberFormat="1" applyFont="1" applyFill="1" applyBorder="1" applyAlignment="1">
      <alignment horizontal="left" vertical="top" wrapText="1"/>
    </xf>
    <xf numFmtId="165" fontId="154" fillId="34" borderId="3" xfId="0" applyNumberFormat="1" applyFont="1" applyFill="1" applyBorder="1" applyAlignment="1">
      <alignment horizontal="justify" vertical="top" wrapText="1"/>
    </xf>
    <xf numFmtId="165" fontId="154" fillId="33" borderId="3" xfId="0" applyNumberFormat="1" applyFont="1" applyFill="1" applyBorder="1" applyAlignment="1">
      <alignment horizontal="justify" vertical="top" wrapText="1"/>
    </xf>
    <xf numFmtId="169" fontId="190" fillId="6" borderId="3" xfId="0" applyNumberFormat="1" applyFont="1" applyFill="1" applyBorder="1" applyAlignment="1">
      <alignment horizontal="center" vertical="center"/>
    </xf>
    <xf numFmtId="0" fontId="0" fillId="0" borderId="0" xfId="0" applyAlignment="1">
      <alignment horizontal="left" vertical="top" wrapText="1"/>
    </xf>
    <xf numFmtId="0" fontId="209" fillId="0" borderId="0" xfId="0" applyFont="1" applyAlignment="1">
      <alignment vertical="top" wrapText="1"/>
    </xf>
    <xf numFmtId="0" fontId="220" fillId="0" borderId="0" xfId="0" applyFont="1"/>
    <xf numFmtId="0" fontId="128" fillId="0" borderId="3" xfId="0" applyFont="1" applyBorder="1" applyAlignment="1">
      <alignment vertical="center" wrapText="1"/>
    </xf>
    <xf numFmtId="0" fontId="111" fillId="15" borderId="0" xfId="0" applyFont="1" applyFill="1" applyAlignment="1">
      <alignment vertical="center"/>
    </xf>
    <xf numFmtId="0" fontId="209" fillId="0" borderId="0" xfId="0" applyFont="1" applyAlignment="1">
      <alignment vertical="top" wrapText="1"/>
    </xf>
    <xf numFmtId="0" fontId="172" fillId="0" borderId="14" xfId="0" applyFont="1" applyFill="1" applyBorder="1" applyAlignment="1">
      <alignment vertical="center"/>
    </xf>
    <xf numFmtId="0" fontId="172" fillId="0" borderId="15" xfId="0" applyFont="1" applyFill="1" applyBorder="1" applyAlignment="1">
      <alignment vertical="center"/>
    </xf>
    <xf numFmtId="10" fontId="172" fillId="40" borderId="14" xfId="1" applyNumberFormat="1" applyFont="1" applyFill="1" applyBorder="1" applyAlignment="1">
      <alignment horizontal="right" vertical="center"/>
    </xf>
    <xf numFmtId="10" fontId="172" fillId="40" borderId="15" xfId="1" applyNumberFormat="1" applyFont="1" applyFill="1" applyBorder="1" applyAlignment="1">
      <alignment horizontal="right" vertical="center"/>
    </xf>
    <xf numFmtId="0" fontId="153" fillId="3" borderId="0" xfId="0" applyFont="1" applyFill="1" applyAlignment="1">
      <alignment horizontal="justify" vertical="top" wrapText="1"/>
    </xf>
    <xf numFmtId="0" fontId="153" fillId="0" borderId="0" xfId="0" applyFont="1" applyAlignment="1">
      <alignment horizontal="justify" vertical="top" wrapText="1"/>
    </xf>
    <xf numFmtId="0" fontId="209" fillId="0" borderId="0" xfId="0" applyFont="1" applyAlignment="1">
      <alignment horizontal="left" vertical="top" wrapText="1"/>
    </xf>
    <xf numFmtId="0" fontId="209" fillId="0" borderId="0" xfId="0" applyFont="1" applyAlignment="1">
      <alignment vertical="top" wrapText="1"/>
    </xf>
    <xf numFmtId="0" fontId="23" fillId="9" borderId="0" xfId="0" applyFont="1" applyFill="1" applyAlignment="1">
      <alignment vertical="center"/>
    </xf>
    <xf numFmtId="3" fontId="23" fillId="9" borderId="0" xfId="0" applyNumberFormat="1" applyFont="1" applyFill="1" applyAlignment="1">
      <alignment horizontal="right" vertical="center"/>
    </xf>
    <xf numFmtId="0" fontId="23" fillId="9" borderId="0" xfId="0" applyFont="1" applyFill="1" applyAlignment="1">
      <alignment horizontal="right" vertical="center"/>
    </xf>
    <xf numFmtId="0" fontId="153" fillId="9" borderId="0" xfId="0" applyFont="1" applyFill="1" applyAlignment="1">
      <alignment vertical="center"/>
    </xf>
    <xf numFmtId="0" fontId="153" fillId="9" borderId="0" xfId="0" applyFont="1" applyFill="1" applyAlignment="1">
      <alignment horizontal="left" vertical="top" wrapText="1"/>
    </xf>
    <xf numFmtId="0" fontId="153" fillId="9" borderId="0" xfId="0" applyFont="1" applyFill="1" applyAlignment="1">
      <alignment vertical="top"/>
    </xf>
    <xf numFmtId="0" fontId="209" fillId="0" borderId="0" xfId="0" applyFont="1" applyAlignment="1">
      <alignment horizontal="left" vertical="top" wrapText="1"/>
    </xf>
    <xf numFmtId="0" fontId="209" fillId="0" borderId="0" xfId="0" applyFont="1" applyAlignment="1">
      <alignment vertical="top" wrapText="1"/>
    </xf>
    <xf numFmtId="0" fontId="247" fillId="6" borderId="3" xfId="0" applyFont="1" applyFill="1" applyBorder="1" applyAlignment="1">
      <alignment horizontal="center" vertical="center"/>
    </xf>
    <xf numFmtId="0" fontId="153" fillId="0" borderId="0" xfId="0" applyFont="1" applyAlignment="1">
      <alignment horizontal="center"/>
    </xf>
    <xf numFmtId="0" fontId="153" fillId="0" borderId="0" xfId="0" applyFont="1" applyBorder="1" applyAlignment="1">
      <alignment horizontal="justify" vertical="top" wrapText="1"/>
    </xf>
    <xf numFmtId="165" fontId="0" fillId="0" borderId="0" xfId="1" applyFont="1" applyFill="1" applyBorder="1"/>
    <xf numFmtId="165" fontId="173" fillId="0" borderId="0" xfId="0" applyNumberFormat="1" applyFont="1" applyBorder="1" applyAlignment="1"/>
    <xf numFmtId="0" fontId="153" fillId="9" borderId="0" xfId="0" applyFont="1" applyFill="1" applyBorder="1" applyAlignment="1">
      <alignment horizontal="center" vertical="top" wrapText="1"/>
    </xf>
    <xf numFmtId="165" fontId="251" fillId="0" borderId="3" xfId="0" applyNumberFormat="1" applyFont="1" applyBorder="1" applyAlignment="1"/>
    <xf numFmtId="1" fontId="153" fillId="0" borderId="3" xfId="0" applyNumberFormat="1" applyFont="1" applyFill="1" applyBorder="1"/>
    <xf numFmtId="165" fontId="153" fillId="0" borderId="3" xfId="1" applyFont="1" applyFill="1" applyBorder="1"/>
    <xf numFmtId="0" fontId="154" fillId="44" borderId="3" xfId="0" applyFont="1" applyFill="1" applyBorder="1" applyAlignment="1">
      <alignment horizontal="center" vertical="top" wrapText="1"/>
    </xf>
    <xf numFmtId="165" fontId="185" fillId="0" borderId="3" xfId="1" applyFont="1" applyBorder="1" applyAlignment="1">
      <alignment horizontal="center"/>
    </xf>
    <xf numFmtId="165" fontId="185" fillId="37" borderId="3" xfId="0" applyNumberFormat="1" applyFont="1" applyFill="1" applyBorder="1"/>
    <xf numFmtId="0" fontId="185" fillId="0" borderId="3" xfId="0" applyFont="1" applyFill="1" applyBorder="1" applyAlignment="1">
      <alignment horizontal="center" vertical="center"/>
    </xf>
    <xf numFmtId="0" fontId="185" fillId="0" borderId="3" xfId="0" applyFont="1" applyFill="1" applyBorder="1" applyAlignment="1">
      <alignment horizontal="left" vertical="center"/>
    </xf>
    <xf numFmtId="0" fontId="26" fillId="3" borderId="0" xfId="0" applyFont="1" applyFill="1" applyAlignment="1" applyProtection="1">
      <alignment horizontal="center" vertical="top" wrapText="1" shrinkToFit="1"/>
      <protection hidden="1"/>
    </xf>
    <xf numFmtId="3" fontId="26" fillId="17" borderId="12" xfId="0" applyNumberFormat="1" applyFont="1" applyFill="1" applyBorder="1" applyProtection="1">
      <protection hidden="1"/>
    </xf>
    <xf numFmtId="0" fontId="153" fillId="9" borderId="0" xfId="0" applyFont="1" applyFill="1" applyAlignment="1">
      <alignment horizontal="left" vertical="top" wrapText="1"/>
    </xf>
    <xf numFmtId="0" fontId="26" fillId="17" borderId="0" xfId="0" applyFont="1" applyFill="1" applyAlignment="1" applyProtection="1">
      <alignment vertical="center"/>
    </xf>
    <xf numFmtId="0" fontId="0" fillId="17" borderId="35" xfId="0" applyFill="1" applyBorder="1" applyAlignment="1">
      <alignment vertical="center"/>
    </xf>
    <xf numFmtId="0" fontId="0" fillId="17" borderId="0" xfId="0" applyFill="1" applyBorder="1" applyAlignment="1">
      <alignment vertical="center"/>
    </xf>
    <xf numFmtId="0" fontId="0" fillId="17" borderId="13" xfId="0" applyFill="1" applyBorder="1" applyAlignment="1">
      <alignment vertical="center"/>
    </xf>
    <xf numFmtId="0" fontId="26" fillId="17" borderId="0" xfId="0" applyFont="1" applyFill="1" applyAlignment="1" applyProtection="1">
      <alignment vertical="center"/>
    </xf>
    <xf numFmtId="0" fontId="209" fillId="0" borderId="0" xfId="0" applyFont="1" applyFill="1" applyAlignment="1">
      <alignment vertical="top" wrapText="1"/>
    </xf>
    <xf numFmtId="0" fontId="172" fillId="0" borderId="14" xfId="0" applyFont="1" applyFill="1" applyBorder="1" applyAlignment="1">
      <alignment horizontal="left" vertical="center"/>
    </xf>
    <xf numFmtId="0" fontId="172" fillId="0" borderId="16" xfId="0" applyFont="1" applyFill="1" applyBorder="1" applyAlignment="1">
      <alignment horizontal="left" vertical="center"/>
    </xf>
    <xf numFmtId="0" fontId="172" fillId="0" borderId="15" xfId="0" applyFont="1" applyFill="1" applyBorder="1" applyAlignment="1">
      <alignment horizontal="left" vertical="center"/>
    </xf>
    <xf numFmtId="10" fontId="172" fillId="40" borderId="14" xfId="1" applyNumberFormat="1" applyFont="1" applyFill="1" applyBorder="1" applyAlignment="1">
      <alignment horizontal="right" vertical="center"/>
    </xf>
    <xf numFmtId="10" fontId="172" fillId="40" borderId="15" xfId="1" applyNumberFormat="1" applyFont="1" applyFill="1" applyBorder="1" applyAlignment="1">
      <alignment horizontal="right" vertical="center"/>
    </xf>
    <xf numFmtId="165" fontId="153" fillId="0" borderId="3" xfId="1" applyFont="1" applyFill="1" applyBorder="1" applyAlignment="1">
      <alignment horizontal="right"/>
    </xf>
    <xf numFmtId="0" fontId="209" fillId="0" borderId="0" xfId="0" applyFont="1" applyAlignment="1">
      <alignment vertical="top" wrapText="1"/>
    </xf>
    <xf numFmtId="0" fontId="172" fillId="0" borderId="14" xfId="0" applyFont="1" applyFill="1" applyBorder="1" applyAlignment="1">
      <alignment vertical="center"/>
    </xf>
    <xf numFmtId="0" fontId="172" fillId="0" borderId="15" xfId="0" applyFont="1" applyFill="1" applyBorder="1" applyAlignment="1">
      <alignment vertical="center"/>
    </xf>
    <xf numFmtId="10" fontId="172" fillId="40" borderId="14" xfId="1" applyNumberFormat="1" applyFont="1" applyFill="1" applyBorder="1" applyAlignment="1">
      <alignment horizontal="right" vertical="center"/>
    </xf>
    <xf numFmtId="10" fontId="172" fillId="40" borderId="15" xfId="1" applyNumberFormat="1" applyFont="1" applyFill="1" applyBorder="1" applyAlignment="1">
      <alignment horizontal="right" vertical="center"/>
    </xf>
    <xf numFmtId="3" fontId="36" fillId="33" borderId="108" xfId="0" applyNumberFormat="1" applyFont="1" applyFill="1" applyBorder="1" applyAlignment="1" applyProtection="1">
      <protection locked="0"/>
    </xf>
    <xf numFmtId="3" fontId="36" fillId="33" borderId="12" xfId="0" applyNumberFormat="1" applyFont="1" applyFill="1" applyBorder="1" applyAlignment="1" applyProtection="1">
      <protection locked="0"/>
    </xf>
    <xf numFmtId="3" fontId="199" fillId="39" borderId="14" xfId="0" applyNumberFormat="1" applyFont="1" applyFill="1" applyBorder="1" applyAlignment="1" applyProtection="1">
      <protection locked="0"/>
    </xf>
    <xf numFmtId="3" fontId="199" fillId="39" borderId="16" xfId="0" applyNumberFormat="1" applyFont="1" applyFill="1" applyBorder="1" applyAlignment="1" applyProtection="1">
      <protection locked="0"/>
    </xf>
    <xf numFmtId="3" fontId="199" fillId="33" borderId="3" xfId="0" applyNumberFormat="1" applyFont="1" applyFill="1" applyBorder="1" applyAlignment="1" applyProtection="1">
      <protection locked="0"/>
    </xf>
    <xf numFmtId="3" fontId="199" fillId="39" borderId="3" xfId="0" applyNumberFormat="1" applyFont="1" applyFill="1" applyBorder="1" applyAlignment="1" applyProtection="1">
      <protection locked="0"/>
    </xf>
    <xf numFmtId="165" fontId="199" fillId="26" borderId="14" xfId="1" applyFont="1" applyFill="1" applyBorder="1" applyAlignment="1">
      <alignment vertical="center"/>
    </xf>
    <xf numFmtId="165" fontId="199" fillId="26" borderId="15" xfId="1" applyFont="1" applyFill="1" applyBorder="1" applyAlignment="1">
      <alignment vertical="center"/>
    </xf>
    <xf numFmtId="165" fontId="199" fillId="16" borderId="14" xfId="1" applyFont="1" applyFill="1" applyBorder="1" applyAlignment="1">
      <alignment vertical="center"/>
    </xf>
    <xf numFmtId="165" fontId="199" fillId="16" borderId="15" xfId="1" applyFont="1" applyFill="1" applyBorder="1" applyAlignment="1">
      <alignment vertical="center"/>
    </xf>
    <xf numFmtId="165" fontId="172" fillId="47" borderId="3" xfId="1" applyFont="1" applyFill="1" applyBorder="1" applyAlignment="1">
      <alignment horizontal="right" vertical="top"/>
    </xf>
    <xf numFmtId="165" fontId="172" fillId="47" borderId="3" xfId="1" applyFont="1" applyFill="1" applyBorder="1" applyAlignment="1">
      <alignment horizontal="right" vertical="center"/>
    </xf>
    <xf numFmtId="165" fontId="172" fillId="3" borderId="3" xfId="1" applyFont="1" applyFill="1" applyBorder="1" applyAlignment="1">
      <alignment horizontal="right" vertical="center"/>
    </xf>
    <xf numFmtId="165" fontId="172" fillId="45" borderId="3" xfId="2" applyNumberFormat="1" applyFont="1" applyFill="1" applyBorder="1" applyAlignment="1">
      <alignment horizontal="center" vertical="top" wrapText="1"/>
    </xf>
    <xf numFmtId="165" fontId="185" fillId="0" borderId="3" xfId="1" applyFont="1" applyBorder="1" applyAlignment="1">
      <alignment horizontal="center" vertical="center"/>
    </xf>
    <xf numFmtId="165" fontId="238" fillId="0" borderId="0" xfId="0" applyNumberFormat="1" applyFont="1" applyAlignment="1"/>
    <xf numFmtId="165" fontId="26" fillId="17" borderId="0" xfId="1" applyFont="1" applyFill="1" applyAlignment="1" applyProtection="1">
      <alignment horizontal="right"/>
    </xf>
    <xf numFmtId="165" fontId="26" fillId="17" borderId="0" xfId="1" applyFont="1" applyFill="1" applyProtection="1"/>
    <xf numFmtId="0" fontId="26" fillId="17" borderId="0" xfId="0" applyFont="1" applyFill="1" applyAlignment="1" applyProtection="1">
      <alignment vertical="center"/>
    </xf>
    <xf numFmtId="0" fontId="129" fillId="0" borderId="0" xfId="0" applyFont="1"/>
    <xf numFmtId="0" fontId="209" fillId="0" borderId="0" xfId="0" applyFont="1" applyAlignment="1">
      <alignment vertical="top" wrapText="1"/>
    </xf>
    <xf numFmtId="10" fontId="172" fillId="40" borderId="14" xfId="1" applyNumberFormat="1" applyFont="1" applyFill="1" applyBorder="1" applyAlignment="1">
      <alignment horizontal="right" vertical="top"/>
    </xf>
    <xf numFmtId="10" fontId="172" fillId="40" borderId="15" xfId="1" applyNumberFormat="1" applyFont="1" applyFill="1" applyBorder="1" applyAlignment="1">
      <alignment horizontal="right" vertical="top"/>
    </xf>
    <xf numFmtId="0" fontId="172" fillId="0" borderId="14" xfId="0" applyFont="1" applyFill="1" applyBorder="1" applyAlignment="1">
      <alignment vertical="top"/>
    </xf>
    <xf numFmtId="0" fontId="172" fillId="0" borderId="15" xfId="0" applyFont="1" applyFill="1" applyBorder="1" applyAlignment="1">
      <alignment vertical="top"/>
    </xf>
    <xf numFmtId="0" fontId="188" fillId="0" borderId="15" xfId="0" applyFont="1" applyBorder="1" applyAlignment="1">
      <alignment vertical="top" wrapText="1"/>
    </xf>
    <xf numFmtId="0" fontId="209" fillId="0" borderId="0" xfId="0" applyFont="1" applyAlignment="1">
      <alignment vertical="top" wrapText="1"/>
    </xf>
    <xf numFmtId="3" fontId="36" fillId="10" borderId="63" xfId="0" applyNumberFormat="1" applyFont="1" applyFill="1" applyBorder="1" applyAlignment="1" applyProtection="1">
      <alignment horizontal="right"/>
      <protection locked="0"/>
    </xf>
    <xf numFmtId="3" fontId="36" fillId="10" borderId="16" xfId="0" applyNumberFormat="1" applyFont="1" applyFill="1" applyBorder="1" applyAlignment="1" applyProtection="1">
      <alignment horizontal="right"/>
      <protection locked="0"/>
    </xf>
    <xf numFmtId="3" fontId="36" fillId="10" borderId="68" xfId="0" applyNumberFormat="1" applyFont="1" applyFill="1" applyBorder="1" applyAlignment="1" applyProtection="1">
      <alignment horizontal="right"/>
      <protection locked="0"/>
    </xf>
    <xf numFmtId="0" fontId="41" fillId="0" borderId="14" xfId="0" applyFont="1" applyBorder="1"/>
    <xf numFmtId="0" fontId="41" fillId="0" borderId="68" xfId="0" applyFont="1" applyBorder="1"/>
    <xf numFmtId="3" fontId="30" fillId="10" borderId="63" xfId="0" applyNumberFormat="1" applyFont="1" applyFill="1" applyBorder="1" applyAlignment="1" applyProtection="1">
      <alignment horizontal="right"/>
      <protection locked="0"/>
    </xf>
    <xf numFmtId="3" fontId="30" fillId="10" borderId="16" xfId="0" applyNumberFormat="1" applyFont="1" applyFill="1" applyBorder="1" applyAlignment="1" applyProtection="1">
      <alignment horizontal="right"/>
      <protection locked="0"/>
    </xf>
    <xf numFmtId="3" fontId="30" fillId="10" borderId="68" xfId="0" applyNumberFormat="1" applyFont="1" applyFill="1" applyBorder="1" applyAlignment="1" applyProtection="1">
      <alignment horizontal="right"/>
      <protection locked="0"/>
    </xf>
    <xf numFmtId="0" fontId="40" fillId="0" borderId="14" xfId="0" applyFont="1" applyBorder="1"/>
    <xf numFmtId="0" fontId="40" fillId="0" borderId="68" xfId="0" applyFont="1" applyBorder="1"/>
    <xf numFmtId="0" fontId="40" fillId="0" borderId="14" xfId="0" applyFont="1" applyBorder="1" applyAlignment="1">
      <alignment horizontal="center"/>
    </xf>
    <xf numFmtId="0" fontId="40" fillId="0" borderId="68" xfId="0" applyFont="1" applyBorder="1" applyAlignment="1">
      <alignment horizontal="center"/>
    </xf>
    <xf numFmtId="0" fontId="37" fillId="0" borderId="74" xfId="0" quotePrefix="1" applyFont="1" applyBorder="1" applyAlignment="1" applyProtection="1">
      <alignment horizontal="center"/>
    </xf>
    <xf numFmtId="0" fontId="37" fillId="0" borderId="75" xfId="0" applyFont="1" applyBorder="1" applyAlignment="1" applyProtection="1">
      <alignment horizontal="center"/>
    </xf>
    <xf numFmtId="0" fontId="37" fillId="0" borderId="75" xfId="0" quotePrefix="1" applyFont="1" applyBorder="1" applyAlignment="1" applyProtection="1">
      <alignment horizontal="center"/>
    </xf>
    <xf numFmtId="0" fontId="7" fillId="0" borderId="75" xfId="0" applyFont="1" applyBorder="1" applyAlignment="1"/>
    <xf numFmtId="0" fontId="7" fillId="0" borderId="38" xfId="0" applyFont="1" applyBorder="1" applyAlignment="1"/>
    <xf numFmtId="0" fontId="38" fillId="0" borderId="35" xfId="0" quotePrefix="1"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9" fillId="0" borderId="0" xfId="0" applyFont="1" applyBorder="1" applyAlignment="1">
      <alignment wrapText="1"/>
    </xf>
    <xf numFmtId="0" fontId="0" fillId="0" borderId="0" xfId="0" applyBorder="1" applyAlignment="1">
      <alignment wrapText="1"/>
    </xf>
    <xf numFmtId="0" fontId="0" fillId="0" borderId="76" xfId="0" applyBorder="1" applyAlignment="1">
      <alignment wrapText="1"/>
    </xf>
    <xf numFmtId="0" fontId="36" fillId="0" borderId="64" xfId="0" applyFont="1" applyBorder="1" applyAlignment="1" applyProtection="1">
      <alignment horizontal="center" vertical="center"/>
    </xf>
    <xf numFmtId="0" fontId="36" fillId="0" borderId="77" xfId="0" applyFont="1" applyBorder="1" applyAlignment="1" applyProtection="1">
      <alignment horizontal="center" vertical="center"/>
    </xf>
    <xf numFmtId="0" fontId="36" fillId="0" borderId="63" xfId="0" applyFont="1" applyBorder="1" applyAlignment="1" applyProtection="1">
      <alignment horizontal="center" vertical="center"/>
    </xf>
    <xf numFmtId="0" fontId="36" fillId="0" borderId="16" xfId="0" applyFont="1" applyBorder="1" applyAlignment="1" applyProtection="1">
      <alignment horizontal="center" vertical="center"/>
    </xf>
    <xf numFmtId="0" fontId="36" fillId="0" borderId="68" xfId="0" applyFont="1" applyBorder="1" applyAlignment="1" applyProtection="1">
      <alignment horizontal="center" vertical="center"/>
    </xf>
    <xf numFmtId="0" fontId="30" fillId="0" borderId="16" xfId="0" applyFont="1" applyBorder="1" applyAlignment="1">
      <alignment horizontal="center"/>
    </xf>
    <xf numFmtId="0" fontId="30" fillId="0" borderId="68" xfId="0" applyFont="1" applyBorder="1" applyAlignment="1">
      <alignment horizontal="center"/>
    </xf>
    <xf numFmtId="0" fontId="30" fillId="0" borderId="16" xfId="0" applyFont="1" applyBorder="1"/>
    <xf numFmtId="0" fontId="30" fillId="0" borderId="68" xfId="0" applyFont="1" applyBorder="1"/>
    <xf numFmtId="0" fontId="19" fillId="0" borderId="63" xfId="0" applyFont="1" applyBorder="1"/>
    <xf numFmtId="0" fontId="19" fillId="0" borderId="16" xfId="0" applyFont="1" applyBorder="1"/>
    <xf numFmtId="0" fontId="19" fillId="0" borderId="68" xfId="0" applyFont="1" applyBorder="1"/>
    <xf numFmtId="0" fontId="0" fillId="0" borderId="14" xfId="0" applyBorder="1"/>
    <xf numFmtId="0" fontId="0" fillId="0" borderId="68" xfId="0" applyBorder="1"/>
    <xf numFmtId="0" fontId="38" fillId="0" borderId="35" xfId="0" applyFont="1" applyBorder="1" applyAlignment="1" applyProtection="1">
      <alignment horizontal="center" vertical="center" wrapText="1"/>
    </xf>
    <xf numFmtId="0" fontId="0" fillId="0" borderId="0" xfId="0" applyAlignment="1">
      <alignment wrapText="1"/>
    </xf>
    <xf numFmtId="0" fontId="37" fillId="0" borderId="38" xfId="0" applyFont="1" applyBorder="1" applyAlignment="1" applyProtection="1">
      <alignment horizontal="center"/>
    </xf>
    <xf numFmtId="3" fontId="32" fillId="0" borderId="60" xfId="0" applyNumberFormat="1" applyFont="1" applyBorder="1" applyAlignment="1" applyProtection="1">
      <alignment horizontal="right"/>
    </xf>
    <xf numFmtId="3" fontId="32" fillId="0" borderId="61" xfId="0" applyNumberFormat="1" applyFont="1" applyBorder="1" applyAlignment="1" applyProtection="1">
      <alignment horizontal="right"/>
    </xf>
    <xf numFmtId="3" fontId="32" fillId="0" borderId="31" xfId="0" applyNumberFormat="1" applyFont="1" applyBorder="1" applyAlignment="1" applyProtection="1">
      <alignment horizontal="right"/>
    </xf>
    <xf numFmtId="3" fontId="32" fillId="0" borderId="32" xfId="0" applyNumberFormat="1" applyFont="1" applyBorder="1" applyAlignment="1" applyProtection="1">
      <alignment horizontal="right"/>
    </xf>
    <xf numFmtId="3" fontId="32" fillId="0" borderId="54" xfId="0" applyNumberFormat="1" applyFont="1" applyBorder="1" applyAlignment="1" applyProtection="1">
      <alignment horizontal="right"/>
    </xf>
    <xf numFmtId="3" fontId="32" fillId="0" borderId="56" xfId="0" applyNumberFormat="1" applyFont="1" applyBorder="1" applyAlignment="1" applyProtection="1">
      <alignment horizontal="right"/>
    </xf>
    <xf numFmtId="3" fontId="32" fillId="0" borderId="55" xfId="0" applyNumberFormat="1" applyFont="1" applyBorder="1" applyAlignment="1" applyProtection="1">
      <alignment horizontal="right"/>
    </xf>
    <xf numFmtId="3" fontId="32" fillId="0" borderId="57" xfId="0" applyNumberFormat="1" applyFont="1" applyBorder="1" applyAlignment="1" applyProtection="1">
      <alignment horizontal="right"/>
    </xf>
    <xf numFmtId="3" fontId="32" fillId="0" borderId="55" xfId="0" applyNumberFormat="1" applyFont="1" applyFill="1" applyBorder="1" applyAlignment="1" applyProtection="1">
      <alignment horizontal="right"/>
    </xf>
    <xf numFmtId="3" fontId="32" fillId="0" borderId="56" xfId="0" applyNumberFormat="1" applyFont="1" applyFill="1" applyBorder="1" applyAlignment="1" applyProtection="1">
      <alignment horizontal="right"/>
    </xf>
    <xf numFmtId="3" fontId="32" fillId="0" borderId="55" xfId="1" applyNumberFormat="1" applyFont="1" applyFill="1" applyBorder="1" applyAlignment="1" applyProtection="1">
      <alignment horizontal="right"/>
    </xf>
    <xf numFmtId="3" fontId="32" fillId="0" borderId="57" xfId="1" applyNumberFormat="1" applyFont="1" applyFill="1" applyBorder="1" applyAlignment="1" applyProtection="1">
      <alignment horizontal="right"/>
    </xf>
    <xf numFmtId="3" fontId="32" fillId="10" borderId="49" xfId="0" applyNumberFormat="1" applyFont="1" applyFill="1" applyBorder="1" applyAlignment="1" applyProtection="1">
      <alignment horizontal="right"/>
      <protection locked="0"/>
    </xf>
    <xf numFmtId="3" fontId="32" fillId="10" borderId="52" xfId="0" applyNumberFormat="1" applyFont="1" applyFill="1" applyBorder="1" applyAlignment="1" applyProtection="1">
      <alignment horizontal="right"/>
      <protection locked="0"/>
    </xf>
    <xf numFmtId="3" fontId="32" fillId="10" borderId="48" xfId="0" applyNumberFormat="1" applyFont="1" applyFill="1" applyBorder="1" applyAlignment="1" applyProtection="1">
      <alignment horizontal="right"/>
      <protection locked="0"/>
    </xf>
    <xf numFmtId="3" fontId="32" fillId="0" borderId="50" xfId="0" applyNumberFormat="1" applyFont="1" applyFill="1" applyBorder="1" applyAlignment="1" applyProtection="1">
      <alignment horizontal="right"/>
    </xf>
    <xf numFmtId="3" fontId="32" fillId="0" borderId="51" xfId="0" applyNumberFormat="1" applyFont="1" applyFill="1" applyBorder="1" applyAlignment="1" applyProtection="1">
      <alignment horizontal="right"/>
    </xf>
    <xf numFmtId="3" fontId="32" fillId="0" borderId="50" xfId="1" applyNumberFormat="1" applyFont="1" applyFill="1" applyBorder="1" applyAlignment="1" applyProtection="1">
      <alignment horizontal="right"/>
    </xf>
    <xf numFmtId="3" fontId="32" fillId="0" borderId="52" xfId="1" applyNumberFormat="1" applyFont="1" applyFill="1" applyBorder="1" applyAlignment="1" applyProtection="1">
      <alignment horizontal="right"/>
    </xf>
    <xf numFmtId="0" fontId="32" fillId="0" borderId="40" xfId="0" applyFont="1" applyBorder="1" applyAlignment="1" applyProtection="1">
      <alignment horizontal="center"/>
    </xf>
    <xf numFmtId="0" fontId="26" fillId="0" borderId="40" xfId="0" applyFont="1" applyBorder="1" applyAlignment="1" applyProtection="1">
      <alignment horizontal="center"/>
    </xf>
    <xf numFmtId="0" fontId="26" fillId="0" borderId="41" xfId="0" applyFont="1" applyBorder="1" applyAlignment="1" applyProtection="1">
      <alignment horizontal="center"/>
    </xf>
    <xf numFmtId="0" fontId="32" fillId="0" borderId="39" xfId="0" applyFont="1" applyBorder="1" applyAlignment="1" applyProtection="1">
      <alignment horizontal="center"/>
    </xf>
    <xf numFmtId="0" fontId="26" fillId="0" borderId="39" xfId="0" applyFont="1" applyBorder="1" applyAlignment="1" applyProtection="1">
      <alignment horizontal="center"/>
    </xf>
    <xf numFmtId="3" fontId="32" fillId="0" borderId="45" xfId="0" applyNumberFormat="1" applyFont="1" applyFill="1" applyBorder="1" applyAlignment="1" applyProtection="1">
      <alignment horizontal="right"/>
    </xf>
    <xf numFmtId="3" fontId="32" fillId="0" borderId="46" xfId="0" applyNumberFormat="1" applyFont="1" applyFill="1" applyBorder="1" applyAlignment="1" applyProtection="1">
      <alignment horizontal="right"/>
    </xf>
    <xf numFmtId="3" fontId="32" fillId="0" borderId="45" xfId="1" applyNumberFormat="1" applyFont="1" applyFill="1" applyBorder="1" applyAlignment="1" applyProtection="1">
      <alignment horizontal="right"/>
    </xf>
    <xf numFmtId="3" fontId="32" fillId="0" borderId="47" xfId="1" applyNumberFormat="1" applyFont="1" applyFill="1" applyBorder="1" applyAlignment="1" applyProtection="1">
      <alignment horizontal="right"/>
    </xf>
    <xf numFmtId="3" fontId="32" fillId="10" borderId="44" xfId="0" applyNumberFormat="1" applyFont="1" applyFill="1" applyBorder="1" applyAlignment="1" applyProtection="1">
      <alignment horizontal="right"/>
      <protection locked="0"/>
    </xf>
    <xf numFmtId="3" fontId="32" fillId="10" borderId="47" xfId="0" applyNumberFormat="1" applyFont="1" applyFill="1" applyBorder="1" applyAlignment="1" applyProtection="1">
      <alignment horizontal="right"/>
      <protection locked="0"/>
    </xf>
    <xf numFmtId="3" fontId="32" fillId="10" borderId="43" xfId="0" applyNumberFormat="1" applyFont="1" applyFill="1" applyBorder="1" applyAlignment="1" applyProtection="1">
      <alignment horizontal="right"/>
      <protection locked="0"/>
    </xf>
    <xf numFmtId="0" fontId="24" fillId="0" borderId="31" xfId="0" applyFont="1" applyBorder="1" applyAlignment="1" applyProtection="1">
      <alignment horizontal="center"/>
    </xf>
    <xf numFmtId="0" fontId="24" fillId="0" borderId="32" xfId="0" applyFont="1" applyBorder="1" applyAlignment="1" applyProtection="1">
      <alignment horizontal="center"/>
    </xf>
    <xf numFmtId="0" fontId="31" fillId="0" borderId="31" xfId="1" applyNumberFormat="1" applyFont="1" applyBorder="1" applyAlignment="1" applyProtection="1">
      <alignment horizontal="center"/>
    </xf>
    <xf numFmtId="0" fontId="31" fillId="0" borderId="33" xfId="1" applyNumberFormat="1" applyFont="1" applyBorder="1" applyAlignment="1" applyProtection="1">
      <alignment horizontal="center"/>
    </xf>
    <xf numFmtId="0" fontId="32" fillId="0" borderId="30" xfId="0" applyFont="1" applyBorder="1" applyAlignment="1" applyProtection="1">
      <alignment horizontal="center"/>
    </xf>
    <xf numFmtId="0" fontId="32" fillId="0" borderId="33" xfId="0" applyFont="1" applyBorder="1" applyAlignment="1" applyProtection="1">
      <alignment horizontal="center"/>
    </xf>
    <xf numFmtId="0" fontId="32" fillId="0" borderId="29" xfId="0" applyFont="1" applyBorder="1" applyAlignment="1" applyProtection="1">
      <alignment horizontal="center"/>
    </xf>
    <xf numFmtId="0" fontId="5" fillId="9" borderId="1" xfId="3" applyFill="1" applyBorder="1" applyAlignment="1"/>
    <xf numFmtId="0" fontId="5" fillId="9" borderId="0" xfId="3" applyFill="1" applyBorder="1" applyAlignment="1"/>
    <xf numFmtId="0" fontId="4" fillId="9" borderId="1" xfId="3" applyFont="1" applyFill="1" applyBorder="1" applyAlignment="1"/>
    <xf numFmtId="0" fontId="4" fillId="9" borderId="0" xfId="3" applyFont="1" applyFill="1" applyBorder="1" applyAlignment="1"/>
    <xf numFmtId="0" fontId="4" fillId="8" borderId="0" xfId="3" quotePrefix="1" applyFont="1" applyFill="1" applyBorder="1" applyProtection="1">
      <protection locked="0"/>
    </xf>
    <xf numFmtId="0" fontId="3" fillId="8" borderId="0" xfId="3" quotePrefix="1" applyFont="1" applyFill="1" applyBorder="1" applyProtection="1">
      <protection locked="0"/>
    </xf>
    <xf numFmtId="0" fontId="5" fillId="8" borderId="0" xfId="3" quotePrefix="1" applyFill="1" applyBorder="1" applyProtection="1">
      <protection locked="0"/>
    </xf>
    <xf numFmtId="0" fontId="2" fillId="8" borderId="0" xfId="3" applyFont="1" applyFill="1" applyBorder="1" applyProtection="1">
      <protection locked="0"/>
    </xf>
    <xf numFmtId="0" fontId="5" fillId="8" borderId="0" xfId="3" applyFill="1" applyBorder="1" applyProtection="1">
      <protection locked="0"/>
    </xf>
    <xf numFmtId="0" fontId="25" fillId="0" borderId="0" xfId="0" applyFont="1" applyBorder="1" applyAlignment="1" applyProtection="1">
      <alignment horizontal="center" vertical="top" wrapText="1" shrinkToFit="1"/>
    </xf>
    <xf numFmtId="0" fontId="26" fillId="0" borderId="0" xfId="0" applyFont="1" applyBorder="1" applyAlignment="1" applyProtection="1">
      <alignment horizontal="center" vertical="top" wrapText="1" shrinkToFit="1"/>
    </xf>
    <xf numFmtId="0" fontId="22" fillId="7" borderId="1" xfId="3" applyFont="1" applyFill="1" applyBorder="1" applyAlignment="1">
      <alignment horizontal="center" vertical="center"/>
    </xf>
    <xf numFmtId="0" fontId="22" fillId="7" borderId="0" xfId="3" applyFont="1" applyFill="1" applyBorder="1" applyAlignment="1">
      <alignment horizontal="center" vertical="center"/>
    </xf>
    <xf numFmtId="0" fontId="20" fillId="0" borderId="0" xfId="0" applyFont="1" applyAlignment="1">
      <alignment horizontal="center"/>
    </xf>
    <xf numFmtId="0" fontId="0" fillId="0" borderId="83" xfId="0" applyBorder="1" applyAlignment="1">
      <alignment horizontal="center"/>
    </xf>
    <xf numFmtId="10" fontId="26" fillId="0" borderId="82" xfId="0" applyNumberFormat="1" applyFont="1" applyFill="1" applyBorder="1" applyProtection="1">
      <protection hidden="1"/>
    </xf>
    <xf numFmtId="10" fontId="26" fillId="0" borderId="0" xfId="0" applyNumberFormat="1" applyFont="1" applyFill="1" applyBorder="1" applyProtection="1">
      <protection hidden="1"/>
    </xf>
    <xf numFmtId="0" fontId="199" fillId="17" borderId="14" xfId="0" applyFont="1" applyFill="1" applyBorder="1" applyAlignment="1" applyProtection="1">
      <alignment horizontal="center" vertical="center"/>
      <protection hidden="1"/>
    </xf>
    <xf numFmtId="0" fontId="199" fillId="17" borderId="15" xfId="0" applyFont="1" applyFill="1" applyBorder="1" applyAlignment="1" applyProtection="1">
      <alignment horizontal="center" vertical="center"/>
      <protection hidden="1"/>
    </xf>
    <xf numFmtId="3" fontId="199" fillId="33" borderId="14" xfId="0" applyNumberFormat="1" applyFont="1" applyFill="1" applyBorder="1" applyAlignment="1" applyProtection="1">
      <alignment horizontal="right"/>
      <protection locked="0"/>
    </xf>
    <xf numFmtId="3" fontId="199" fillId="33" borderId="16" xfId="0" applyNumberFormat="1" applyFont="1" applyFill="1" applyBorder="1" applyAlignment="1" applyProtection="1">
      <alignment horizontal="right"/>
      <protection locked="0"/>
    </xf>
    <xf numFmtId="3" fontId="199" fillId="33" borderId="15" xfId="0" applyNumberFormat="1" applyFont="1" applyFill="1" applyBorder="1" applyAlignment="1" applyProtection="1">
      <alignment horizontal="right"/>
      <protection locked="0"/>
    </xf>
    <xf numFmtId="3" fontId="172" fillId="33" borderId="14" xfId="0" applyNumberFormat="1" applyFont="1" applyFill="1" applyBorder="1" applyAlignment="1" applyProtection="1">
      <alignment horizontal="right" wrapText="1"/>
      <protection locked="0"/>
    </xf>
    <xf numFmtId="3" fontId="172" fillId="33" borderId="15" xfId="0" applyNumberFormat="1" applyFont="1" applyFill="1" applyBorder="1" applyAlignment="1" applyProtection="1">
      <alignment horizontal="right" wrapText="1"/>
      <protection locked="0"/>
    </xf>
    <xf numFmtId="3" fontId="234" fillId="17" borderId="69" xfId="0" applyNumberFormat="1" applyFont="1" applyFill="1" applyBorder="1" applyAlignment="1" applyProtection="1">
      <alignment horizontal="right"/>
      <protection hidden="1"/>
    </xf>
    <xf numFmtId="3" fontId="234" fillId="17" borderId="70" xfId="0" applyNumberFormat="1" applyFont="1" applyFill="1" applyBorder="1" applyAlignment="1" applyProtection="1">
      <alignment horizontal="right"/>
      <protection hidden="1"/>
    </xf>
    <xf numFmtId="3" fontId="234" fillId="17" borderId="71" xfId="0" applyNumberFormat="1" applyFont="1" applyFill="1" applyBorder="1" applyAlignment="1" applyProtection="1">
      <alignment horizontal="right"/>
      <protection hidden="1"/>
    </xf>
    <xf numFmtId="3" fontId="152" fillId="17" borderId="50" xfId="0" applyNumberFormat="1" applyFont="1" applyFill="1" applyBorder="1" applyAlignment="1" applyProtection="1">
      <alignment horizontal="right"/>
      <protection hidden="1"/>
    </xf>
    <xf numFmtId="3" fontId="152" fillId="17" borderId="49" xfId="0" applyNumberFormat="1" applyFont="1" applyFill="1" applyBorder="1" applyAlignment="1" applyProtection="1">
      <alignment horizontal="right"/>
      <protection hidden="1"/>
    </xf>
    <xf numFmtId="3" fontId="152" fillId="17" borderId="51" xfId="0" applyNumberFormat="1" applyFont="1" applyFill="1" applyBorder="1" applyAlignment="1" applyProtection="1">
      <alignment horizontal="right"/>
      <protection hidden="1"/>
    </xf>
    <xf numFmtId="3" fontId="28" fillId="33" borderId="50" xfId="0" applyNumberFormat="1" applyFont="1" applyFill="1" applyBorder="1" applyAlignment="1" applyProtection="1">
      <alignment horizontal="right"/>
      <protection locked="0"/>
    </xf>
    <xf numFmtId="0" fontId="28" fillId="33" borderId="51" xfId="0" applyFont="1" applyFill="1" applyBorder="1" applyProtection="1">
      <protection locked="0"/>
    </xf>
    <xf numFmtId="3" fontId="28" fillId="33" borderId="51" xfId="0" applyNumberFormat="1" applyFont="1" applyFill="1" applyBorder="1" applyAlignment="1" applyProtection="1">
      <alignment horizontal="right"/>
      <protection locked="0"/>
    </xf>
    <xf numFmtId="0" fontId="199" fillId="17" borderId="63" xfId="0" applyFont="1" applyFill="1" applyBorder="1" applyAlignment="1" applyProtection="1">
      <alignment horizontal="center"/>
      <protection hidden="1"/>
    </xf>
    <xf numFmtId="0" fontId="172" fillId="17" borderId="15" xfId="0" applyFont="1" applyFill="1" applyBorder="1" applyProtection="1">
      <protection hidden="1"/>
    </xf>
    <xf numFmtId="0" fontId="43" fillId="0" borderId="25" xfId="0" applyFont="1" applyFill="1" applyBorder="1" applyProtection="1">
      <protection hidden="1"/>
    </xf>
    <xf numFmtId="164" fontId="43" fillId="0" borderId="25" xfId="0" applyNumberFormat="1" applyFont="1" applyFill="1" applyBorder="1" applyAlignment="1" applyProtection="1">
      <alignment horizontal="center"/>
      <protection hidden="1"/>
    </xf>
    <xf numFmtId="10" fontId="43" fillId="0" borderId="36" xfId="0" applyNumberFormat="1" applyFont="1" applyFill="1" applyBorder="1" applyAlignment="1" applyProtection="1">
      <alignment horizontal="center"/>
      <protection hidden="1"/>
    </xf>
    <xf numFmtId="10" fontId="43" fillId="0" borderId="75" xfId="0" applyNumberFormat="1" applyFont="1" applyFill="1" applyBorder="1" applyAlignment="1" applyProtection="1">
      <alignment horizontal="center"/>
      <protection hidden="1"/>
    </xf>
    <xf numFmtId="0" fontId="26" fillId="0" borderId="12" xfId="0" applyFont="1" applyFill="1" applyBorder="1" applyProtection="1">
      <protection hidden="1"/>
    </xf>
    <xf numFmtId="164" fontId="26" fillId="0" borderId="12" xfId="0" applyNumberFormat="1" applyFont="1" applyFill="1" applyBorder="1" applyAlignment="1" applyProtection="1">
      <alignment horizontal="center"/>
      <protection hidden="1"/>
    </xf>
    <xf numFmtId="0" fontId="71" fillId="0" borderId="12" xfId="0" applyFont="1" applyFill="1" applyBorder="1" applyProtection="1">
      <protection hidden="1"/>
    </xf>
    <xf numFmtId="164" fontId="26" fillId="0" borderId="82" xfId="0" applyNumberFormat="1" applyFont="1" applyFill="1" applyBorder="1" applyAlignment="1" applyProtection="1">
      <alignment horizontal="center"/>
      <protection hidden="1"/>
    </xf>
    <xf numFmtId="164" fontId="26" fillId="0" borderId="0" xfId="0" applyNumberFormat="1" applyFont="1" applyFill="1" applyBorder="1" applyAlignment="1" applyProtection="1">
      <alignment horizontal="center"/>
      <protection hidden="1"/>
    </xf>
    <xf numFmtId="164" fontId="26" fillId="0" borderId="13" xfId="0" applyNumberFormat="1" applyFont="1" applyFill="1" applyBorder="1" applyAlignment="1" applyProtection="1">
      <alignment horizontal="center"/>
      <protection hidden="1"/>
    </xf>
    <xf numFmtId="0" fontId="122" fillId="27" borderId="10" xfId="0" applyFont="1" applyFill="1" applyBorder="1" applyAlignment="1" applyProtection="1">
      <alignment horizontal="center" vertical="center" wrapText="1"/>
      <protection hidden="1"/>
    </xf>
    <xf numFmtId="0" fontId="122" fillId="27" borderId="11" xfId="0" applyFont="1" applyFill="1" applyBorder="1" applyAlignment="1" applyProtection="1">
      <alignment horizontal="center" vertical="center" wrapText="1"/>
      <protection hidden="1"/>
    </xf>
    <xf numFmtId="17" fontId="122" fillId="27" borderId="10" xfId="0" applyNumberFormat="1" applyFont="1" applyFill="1" applyBorder="1" applyAlignment="1" applyProtection="1">
      <alignment horizontal="center" vertical="center" wrapText="1"/>
      <protection hidden="1"/>
    </xf>
    <xf numFmtId="0" fontId="122" fillId="27" borderId="4" xfId="0" applyFont="1" applyFill="1" applyBorder="1" applyAlignment="1" applyProtection="1">
      <alignment horizontal="center" vertical="center" wrapText="1"/>
      <protection hidden="1"/>
    </xf>
    <xf numFmtId="0" fontId="122" fillId="27" borderId="5" xfId="0" applyFont="1" applyFill="1" applyBorder="1" applyAlignment="1" applyProtection="1">
      <alignment horizontal="center" vertical="center" wrapText="1"/>
      <protection hidden="1"/>
    </xf>
    <xf numFmtId="0" fontId="122" fillId="27" borderId="6" xfId="0" applyFont="1" applyFill="1" applyBorder="1" applyAlignment="1" applyProtection="1">
      <alignment horizontal="center" vertical="center" wrapText="1"/>
      <protection hidden="1"/>
    </xf>
    <xf numFmtId="0" fontId="122" fillId="27" borderId="82" xfId="0" applyFont="1" applyFill="1" applyBorder="1" applyAlignment="1" applyProtection="1">
      <alignment horizontal="center" vertical="center" wrapText="1"/>
      <protection hidden="1"/>
    </xf>
    <xf numFmtId="0" fontId="122" fillId="27" borderId="0" xfId="0" applyFont="1" applyFill="1" applyBorder="1" applyAlignment="1" applyProtection="1">
      <alignment horizontal="center" vertical="center" wrapText="1"/>
      <protection hidden="1"/>
    </xf>
    <xf numFmtId="0" fontId="122" fillId="27" borderId="13" xfId="0" applyFont="1" applyFill="1" applyBorder="1" applyAlignment="1" applyProtection="1">
      <alignment horizontal="center" vertical="center" wrapText="1"/>
      <protection hidden="1"/>
    </xf>
    <xf numFmtId="4" fontId="55" fillId="13" borderId="49" xfId="0" applyNumberFormat="1" applyFont="1" applyFill="1" applyBorder="1" applyAlignment="1" applyProtection="1">
      <alignment horizontal="right"/>
      <protection hidden="1"/>
    </xf>
    <xf numFmtId="0" fontId="0" fillId="13" borderId="52" xfId="0" applyFill="1" applyBorder="1" applyProtection="1">
      <protection hidden="1"/>
    </xf>
    <xf numFmtId="0" fontId="26" fillId="17" borderId="0" xfId="0" applyFont="1" applyFill="1" applyBorder="1" applyProtection="1">
      <protection hidden="1"/>
    </xf>
    <xf numFmtId="0" fontId="26" fillId="17" borderId="13" xfId="0" applyFont="1" applyFill="1" applyBorder="1" applyProtection="1">
      <protection hidden="1"/>
    </xf>
    <xf numFmtId="37" fontId="26" fillId="33" borderId="50" xfId="0" applyNumberFormat="1" applyFont="1" applyFill="1" applyBorder="1" applyAlignment="1" applyProtection="1">
      <alignment horizontal="right"/>
      <protection locked="0"/>
    </xf>
    <xf numFmtId="0" fontId="71" fillId="33" borderId="51" xfId="0" applyFont="1" applyFill="1" applyBorder="1" applyProtection="1">
      <protection locked="0"/>
    </xf>
    <xf numFmtId="3" fontId="133" fillId="18" borderId="0" xfId="0" applyNumberFormat="1" applyFont="1" applyFill="1" applyAlignment="1" applyProtection="1">
      <alignment horizontal="center" vertical="top" wrapText="1" shrinkToFit="1"/>
      <protection hidden="1"/>
    </xf>
    <xf numFmtId="0" fontId="133" fillId="18" borderId="0" xfId="0" applyFont="1" applyFill="1" applyAlignment="1" applyProtection="1">
      <alignment horizontal="center" vertical="top" wrapText="1" shrinkToFit="1"/>
      <protection hidden="1"/>
    </xf>
    <xf numFmtId="15" fontId="146" fillId="33" borderId="49" xfId="0" quotePrefix="1" applyNumberFormat="1" applyFont="1" applyFill="1" applyBorder="1" applyAlignment="1" applyProtection="1">
      <alignment horizontal="left" vertical="top" wrapText="1" shrinkToFit="1"/>
      <protection hidden="1"/>
    </xf>
    <xf numFmtId="15" fontId="146" fillId="33" borderId="147" xfId="0" quotePrefix="1" applyNumberFormat="1" applyFont="1" applyFill="1" applyBorder="1" applyAlignment="1" applyProtection="1">
      <alignment horizontal="left" vertical="top" wrapText="1" shrinkToFit="1"/>
      <protection locked="0"/>
    </xf>
    <xf numFmtId="15" fontId="146" fillId="33" borderId="49" xfId="0" quotePrefix="1" applyNumberFormat="1" applyFont="1" applyFill="1" applyBorder="1" applyAlignment="1" applyProtection="1">
      <alignment horizontal="left" vertical="top" wrapText="1" shrinkToFit="1"/>
      <protection locked="0"/>
    </xf>
    <xf numFmtId="0" fontId="64" fillId="17" borderId="0" xfId="0" applyFont="1" applyFill="1" applyBorder="1" applyProtection="1">
      <protection hidden="1"/>
    </xf>
    <xf numFmtId="0" fontId="64" fillId="17" borderId="13" xfId="0" applyFont="1" applyFill="1" applyBorder="1" applyProtection="1">
      <protection hidden="1"/>
    </xf>
    <xf numFmtId="3" fontId="26" fillId="33" borderId="50" xfId="0" applyNumberFormat="1" applyFont="1" applyFill="1" applyBorder="1" applyAlignment="1" applyProtection="1">
      <alignment horizontal="right"/>
      <protection locked="0"/>
    </xf>
    <xf numFmtId="49" fontId="27" fillId="33" borderId="0" xfId="0" quotePrefix="1" applyNumberFormat="1" applyFont="1" applyFill="1" applyAlignment="1" applyProtection="1">
      <alignment horizontal="left"/>
      <protection locked="0"/>
    </xf>
    <xf numFmtId="49" fontId="71" fillId="33" borderId="0" xfId="0" applyNumberFormat="1" applyFont="1" applyFill="1" applyAlignment="1" applyProtection="1">
      <protection locked="0"/>
    </xf>
    <xf numFmtId="49" fontId="27" fillId="33" borderId="0" xfId="0" applyNumberFormat="1" applyFont="1" applyFill="1" applyAlignment="1" applyProtection="1">
      <alignment horizontal="left"/>
      <protection locked="0"/>
    </xf>
    <xf numFmtId="164" fontId="27" fillId="33" borderId="0" xfId="0" applyNumberFormat="1" applyFont="1" applyFill="1" applyAlignment="1" applyProtection="1">
      <alignment horizontal="left"/>
      <protection locked="0"/>
    </xf>
    <xf numFmtId="164" fontId="71" fillId="33" borderId="0" xfId="0" applyNumberFormat="1" applyFont="1" applyFill="1" applyAlignment="1" applyProtection="1">
      <protection locked="0"/>
    </xf>
    <xf numFmtId="0" fontId="28" fillId="33" borderId="49" xfId="0" applyFont="1" applyFill="1" applyBorder="1" applyProtection="1">
      <protection locked="0"/>
    </xf>
    <xf numFmtId="37" fontId="28" fillId="9" borderId="48" xfId="0" applyNumberFormat="1" applyFont="1" applyFill="1" applyBorder="1" applyAlignment="1" applyProtection="1">
      <alignment horizontal="right"/>
      <protection hidden="1"/>
    </xf>
    <xf numFmtId="37" fontId="28" fillId="9" borderId="49" xfId="0" applyNumberFormat="1" applyFont="1" applyFill="1" applyBorder="1" applyAlignment="1" applyProtection="1">
      <alignment horizontal="right"/>
      <protection hidden="1"/>
    </xf>
    <xf numFmtId="37" fontId="28" fillId="9" borderId="51" xfId="0" applyNumberFormat="1" applyFont="1" applyFill="1" applyBorder="1" applyAlignment="1" applyProtection="1">
      <alignment horizontal="right"/>
      <protection hidden="1"/>
    </xf>
    <xf numFmtId="37" fontId="26" fillId="33" borderId="50" xfId="1" applyNumberFormat="1" applyFont="1" applyFill="1" applyBorder="1" applyAlignment="1" applyProtection="1">
      <alignment horizontal="right"/>
      <protection locked="0"/>
    </xf>
    <xf numFmtId="37" fontId="71" fillId="33" borderId="51" xfId="1" applyNumberFormat="1" applyFont="1" applyFill="1" applyBorder="1" applyProtection="1">
      <protection locked="0"/>
    </xf>
    <xf numFmtId="3" fontId="28" fillId="9" borderId="50" xfId="0" applyNumberFormat="1" applyFont="1" applyFill="1" applyBorder="1" applyAlignment="1" applyProtection="1">
      <alignment horizontal="right"/>
      <protection hidden="1"/>
    </xf>
    <xf numFmtId="0" fontId="28" fillId="9" borderId="51" xfId="0" applyFont="1" applyFill="1" applyBorder="1" applyProtection="1">
      <protection hidden="1"/>
    </xf>
    <xf numFmtId="0" fontId="199" fillId="33" borderId="16" xfId="0" applyFont="1" applyFill="1" applyBorder="1" applyProtection="1">
      <protection locked="0"/>
    </xf>
    <xf numFmtId="0" fontId="199" fillId="33" borderId="15" xfId="0" applyFont="1" applyFill="1" applyBorder="1" applyProtection="1">
      <protection locked="0"/>
    </xf>
    <xf numFmtId="0" fontId="81" fillId="18" borderId="0" xfId="0" applyFont="1" applyFill="1" applyBorder="1" applyAlignment="1" applyProtection="1">
      <alignment horizontal="center"/>
      <protection hidden="1"/>
    </xf>
    <xf numFmtId="4" fontId="26" fillId="17" borderId="50" xfId="0" applyNumberFormat="1" applyFont="1" applyFill="1" applyBorder="1" applyAlignment="1" applyProtection="1">
      <alignment horizontal="right"/>
      <protection hidden="1"/>
    </xf>
    <xf numFmtId="0" fontId="0" fillId="17" borderId="52" xfId="0" applyFill="1" applyBorder="1" applyProtection="1">
      <protection hidden="1"/>
    </xf>
    <xf numFmtId="0" fontId="133" fillId="27" borderId="63" xfId="0" applyFont="1" applyFill="1" applyBorder="1" applyAlignment="1" applyProtection="1">
      <alignment horizontal="center"/>
      <protection hidden="1"/>
    </xf>
    <xf numFmtId="0" fontId="133" fillId="27" borderId="16" xfId="0" applyFont="1" applyFill="1" applyBorder="1" applyAlignment="1" applyProtection="1">
      <alignment horizontal="center"/>
      <protection hidden="1"/>
    </xf>
    <xf numFmtId="0" fontId="133" fillId="27" borderId="15" xfId="0" applyFont="1" applyFill="1" applyBorder="1" applyAlignment="1" applyProtection="1">
      <alignment horizontal="center"/>
      <protection hidden="1"/>
    </xf>
    <xf numFmtId="0" fontId="26" fillId="9" borderId="0" xfId="0" applyFont="1" applyFill="1" applyBorder="1" applyProtection="1">
      <protection hidden="1"/>
    </xf>
    <xf numFmtId="0" fontId="26" fillId="9" borderId="13" xfId="0" applyFont="1" applyFill="1" applyBorder="1" applyProtection="1">
      <protection hidden="1"/>
    </xf>
    <xf numFmtId="4" fontId="56" fillId="17" borderId="50" xfId="0" applyNumberFormat="1" applyFont="1" applyFill="1" applyBorder="1" applyAlignment="1" applyProtection="1">
      <alignment horizontal="right"/>
      <protection hidden="1"/>
    </xf>
    <xf numFmtId="3" fontId="199" fillId="33" borderId="14" xfId="0" applyNumberFormat="1" applyFont="1" applyFill="1" applyBorder="1" applyAlignment="1" applyProtection="1">
      <alignment horizontal="right" wrapText="1"/>
      <protection locked="0"/>
    </xf>
    <xf numFmtId="3" fontId="199" fillId="33" borderId="15" xfId="0" applyNumberFormat="1" applyFont="1" applyFill="1" applyBorder="1" applyAlignment="1" applyProtection="1">
      <alignment horizontal="right" wrapText="1"/>
      <protection locked="0"/>
    </xf>
    <xf numFmtId="0" fontId="228" fillId="19" borderId="14" xfId="0" applyFont="1" applyFill="1" applyBorder="1" applyAlignment="1" applyProtection="1">
      <alignment horizontal="center" vertical="center"/>
    </xf>
    <xf numFmtId="0" fontId="228" fillId="19" borderId="16" xfId="0" applyFont="1" applyFill="1" applyBorder="1" applyAlignment="1" applyProtection="1">
      <alignment horizontal="center" vertical="center"/>
    </xf>
    <xf numFmtId="0" fontId="228" fillId="19" borderId="15" xfId="0" applyFont="1" applyFill="1" applyBorder="1" applyAlignment="1" applyProtection="1">
      <alignment horizontal="center" vertical="center"/>
    </xf>
    <xf numFmtId="0" fontId="236" fillId="33" borderId="72" xfId="0" applyFont="1" applyFill="1" applyBorder="1" applyAlignment="1" applyProtection="1">
      <alignment horizontal="center"/>
      <protection locked="0"/>
    </xf>
    <xf numFmtId="0" fontId="236" fillId="33" borderId="71" xfId="0" applyFont="1" applyFill="1" applyBorder="1" applyProtection="1">
      <protection locked="0"/>
    </xf>
    <xf numFmtId="3" fontId="199" fillId="17" borderId="69" xfId="0" applyNumberFormat="1" applyFont="1" applyFill="1" applyBorder="1" applyAlignment="1" applyProtection="1">
      <alignment horizontal="right" wrapText="1"/>
      <protection hidden="1"/>
    </xf>
    <xf numFmtId="3" fontId="199" fillId="17" borderId="71" xfId="0" applyNumberFormat="1" applyFont="1" applyFill="1" applyBorder="1" applyAlignment="1" applyProtection="1">
      <alignment horizontal="right" wrapText="1"/>
      <protection hidden="1"/>
    </xf>
    <xf numFmtId="0" fontId="95" fillId="27" borderId="91" xfId="0" applyFont="1" applyFill="1" applyBorder="1" applyAlignment="1" applyProtection="1">
      <alignment horizontal="center" vertical="center"/>
      <protection hidden="1"/>
    </xf>
    <xf numFmtId="0" fontId="95" fillId="27" borderId="89" xfId="0" applyFont="1" applyFill="1" applyBorder="1" applyAlignment="1" applyProtection="1">
      <alignment horizontal="center" vertical="center"/>
      <protection hidden="1"/>
    </xf>
    <xf numFmtId="0" fontId="95" fillId="27" borderId="90" xfId="0" applyFont="1" applyFill="1" applyBorder="1" applyAlignment="1" applyProtection="1">
      <alignment horizontal="center" vertical="center"/>
      <protection hidden="1"/>
    </xf>
    <xf numFmtId="0" fontId="44" fillId="18" borderId="30" xfId="0" applyFont="1" applyFill="1" applyBorder="1" applyAlignment="1" applyProtection="1">
      <alignment horizontal="center"/>
      <protection hidden="1"/>
    </xf>
    <xf numFmtId="15" fontId="44" fillId="18" borderId="30" xfId="0" applyNumberFormat="1" applyFont="1" applyFill="1" applyBorder="1" applyAlignment="1" applyProtection="1">
      <alignment horizontal="center"/>
      <protection hidden="1"/>
    </xf>
    <xf numFmtId="0" fontId="236" fillId="33" borderId="63" xfId="0" applyFont="1" applyFill="1" applyBorder="1" applyAlignment="1" applyProtection="1">
      <alignment horizontal="center"/>
      <protection locked="0"/>
    </xf>
    <xf numFmtId="0" fontId="236" fillId="33" borderId="15" xfId="0" applyFont="1" applyFill="1" applyBorder="1" applyProtection="1">
      <protection locked="0"/>
    </xf>
    <xf numFmtId="0" fontId="48" fillId="17" borderId="55" xfId="0" applyFont="1" applyFill="1" applyBorder="1" applyAlignment="1" applyProtection="1">
      <alignment horizontal="center"/>
      <protection hidden="1"/>
    </xf>
    <xf numFmtId="0" fontId="0" fillId="17" borderId="56" xfId="0" applyFill="1" applyBorder="1" applyProtection="1">
      <protection hidden="1"/>
    </xf>
    <xf numFmtId="3" fontId="55" fillId="17" borderId="50" xfId="0" applyNumberFormat="1" applyFont="1" applyFill="1" applyBorder="1" applyAlignment="1" applyProtection="1">
      <alignment horizontal="right"/>
      <protection hidden="1"/>
    </xf>
    <xf numFmtId="0" fontId="0" fillId="17" borderId="51" xfId="0" applyFill="1" applyBorder="1" applyProtection="1">
      <protection hidden="1"/>
    </xf>
    <xf numFmtId="164" fontId="26" fillId="0" borderId="12" xfId="0" applyNumberFormat="1" applyFont="1" applyFill="1" applyBorder="1" applyProtection="1">
      <protection hidden="1"/>
    </xf>
    <xf numFmtId="4" fontId="26" fillId="17" borderId="49" xfId="0" applyNumberFormat="1" applyFont="1" applyFill="1" applyBorder="1" applyAlignment="1" applyProtection="1">
      <alignment horizontal="right"/>
      <protection hidden="1"/>
    </xf>
    <xf numFmtId="0" fontId="80" fillId="18" borderId="0" xfId="0" applyFont="1" applyFill="1" applyAlignment="1" applyProtection="1">
      <alignment horizontal="center"/>
      <protection hidden="1"/>
    </xf>
    <xf numFmtId="0" fontId="80" fillId="18" borderId="0" xfId="0" applyFont="1" applyFill="1" applyBorder="1" applyAlignment="1" applyProtection="1">
      <alignment horizontal="center" vertical="center"/>
      <protection hidden="1"/>
    </xf>
    <xf numFmtId="0" fontId="43" fillId="17" borderId="50" xfId="0" applyFont="1" applyFill="1" applyBorder="1" applyAlignment="1" applyProtection="1">
      <alignment horizontal="left"/>
      <protection hidden="1"/>
    </xf>
    <xf numFmtId="0" fontId="43" fillId="17" borderId="49" xfId="0" applyFont="1" applyFill="1" applyBorder="1" applyAlignment="1" applyProtection="1">
      <alignment horizontal="left"/>
      <protection hidden="1"/>
    </xf>
    <xf numFmtId="0" fontId="43" fillId="17" borderId="51" xfId="0" applyFont="1" applyFill="1" applyBorder="1" applyAlignment="1" applyProtection="1">
      <alignment horizontal="left"/>
      <protection hidden="1"/>
    </xf>
    <xf numFmtId="37" fontId="28" fillId="17" borderId="50" xfId="0" applyNumberFormat="1" applyFont="1" applyFill="1" applyBorder="1" applyAlignment="1" applyProtection="1">
      <alignment horizontal="right"/>
      <protection hidden="1"/>
    </xf>
    <xf numFmtId="37" fontId="28" fillId="17" borderId="51" xfId="0" applyNumberFormat="1" applyFont="1" applyFill="1" applyBorder="1" applyAlignment="1" applyProtection="1">
      <alignment horizontal="right"/>
      <protection hidden="1"/>
    </xf>
    <xf numFmtId="4" fontId="28" fillId="17" borderId="50" xfId="0" applyNumberFormat="1" applyFont="1" applyFill="1" applyBorder="1" applyAlignment="1" applyProtection="1">
      <alignment horizontal="right"/>
      <protection hidden="1"/>
    </xf>
    <xf numFmtId="0" fontId="152" fillId="17" borderId="52" xfId="0" applyFont="1" applyFill="1" applyBorder="1" applyProtection="1">
      <protection hidden="1"/>
    </xf>
    <xf numFmtId="0" fontId="26" fillId="17" borderId="105" xfId="0" applyFont="1" applyFill="1" applyBorder="1" applyProtection="1">
      <protection hidden="1"/>
    </xf>
    <xf numFmtId="0" fontId="26" fillId="17" borderId="106" xfId="0" applyFont="1" applyFill="1" applyBorder="1" applyProtection="1">
      <protection hidden="1"/>
    </xf>
    <xf numFmtId="0" fontId="26" fillId="17" borderId="45" xfId="0" applyFont="1" applyFill="1" applyBorder="1" applyProtection="1">
      <protection hidden="1"/>
    </xf>
    <xf numFmtId="0" fontId="26" fillId="17" borderId="46" xfId="0" applyFont="1" applyFill="1" applyBorder="1" applyProtection="1">
      <protection hidden="1"/>
    </xf>
    <xf numFmtId="37" fontId="55" fillId="17" borderId="50" xfId="1" applyNumberFormat="1" applyFont="1" applyFill="1" applyBorder="1" applyAlignment="1" applyProtection="1">
      <alignment horizontal="right"/>
      <protection hidden="1"/>
    </xf>
    <xf numFmtId="37" fontId="0" fillId="17" borderId="51" xfId="1" applyNumberFormat="1" applyFont="1" applyFill="1" applyBorder="1" applyProtection="1">
      <protection hidden="1"/>
    </xf>
    <xf numFmtId="37" fontId="55" fillId="17" borderId="50" xfId="0" applyNumberFormat="1" applyFont="1" applyFill="1" applyBorder="1" applyAlignment="1" applyProtection="1">
      <alignment horizontal="right"/>
      <protection hidden="1"/>
    </xf>
    <xf numFmtId="37" fontId="0" fillId="17" borderId="51" xfId="0" applyNumberFormat="1" applyFill="1" applyBorder="1" applyProtection="1">
      <protection hidden="1"/>
    </xf>
    <xf numFmtId="37" fontId="71" fillId="33" borderId="51" xfId="0" applyNumberFormat="1" applyFont="1" applyFill="1" applyBorder="1" applyProtection="1">
      <protection locked="0"/>
    </xf>
    <xf numFmtId="17" fontId="118" fillId="27" borderId="14" xfId="0" applyNumberFormat="1" applyFont="1" applyFill="1" applyBorder="1" applyAlignment="1" applyProtection="1">
      <alignment horizontal="center"/>
      <protection hidden="1"/>
    </xf>
    <xf numFmtId="0" fontId="119" fillId="27" borderId="15" xfId="0" applyFont="1" applyFill="1" applyBorder="1" applyProtection="1">
      <protection hidden="1"/>
    </xf>
    <xf numFmtId="3" fontId="55" fillId="13" borderId="50" xfId="0" applyNumberFormat="1" applyFont="1" applyFill="1" applyBorder="1" applyAlignment="1" applyProtection="1">
      <alignment horizontal="right"/>
      <protection hidden="1"/>
    </xf>
    <xf numFmtId="0" fontId="0" fillId="13" borderId="51" xfId="0" applyFill="1" applyBorder="1" applyProtection="1">
      <protection hidden="1"/>
    </xf>
    <xf numFmtId="3" fontId="236" fillId="33" borderId="14" xfId="0" applyNumberFormat="1" applyFont="1" applyFill="1" applyBorder="1" applyAlignment="1" applyProtection="1">
      <alignment horizontal="right" wrapText="1"/>
      <protection locked="0"/>
    </xf>
    <xf numFmtId="3" fontId="236" fillId="33" borderId="15" xfId="0" applyNumberFormat="1" applyFont="1" applyFill="1" applyBorder="1" applyAlignment="1" applyProtection="1">
      <alignment horizontal="right" wrapText="1"/>
      <protection locked="0"/>
    </xf>
    <xf numFmtId="3" fontId="234" fillId="17" borderId="69" xfId="0" applyNumberFormat="1" applyFont="1" applyFill="1" applyBorder="1" applyAlignment="1" applyProtection="1">
      <alignment horizontal="right" vertical="center"/>
      <protection hidden="1"/>
    </xf>
    <xf numFmtId="3" fontId="234" fillId="17" borderId="70" xfId="0" applyNumberFormat="1" applyFont="1" applyFill="1" applyBorder="1" applyAlignment="1" applyProtection="1">
      <alignment horizontal="right" vertical="center"/>
      <protection hidden="1"/>
    </xf>
    <xf numFmtId="3" fontId="234" fillId="17" borderId="71" xfId="0" applyNumberFormat="1" applyFont="1" applyFill="1" applyBorder="1" applyAlignment="1" applyProtection="1">
      <alignment horizontal="right" vertical="center"/>
      <protection hidden="1"/>
    </xf>
    <xf numFmtId="3" fontId="199" fillId="17" borderId="69" xfId="0" applyNumberFormat="1" applyFont="1" applyFill="1" applyBorder="1" applyAlignment="1" applyProtection="1">
      <alignment horizontal="right" vertical="center" wrapText="1"/>
      <protection hidden="1"/>
    </xf>
    <xf numFmtId="3" fontId="199" fillId="17" borderId="71" xfId="0" applyNumberFormat="1" applyFont="1" applyFill="1" applyBorder="1" applyAlignment="1" applyProtection="1">
      <alignment horizontal="right" vertical="center" wrapText="1"/>
      <protection hidden="1"/>
    </xf>
    <xf numFmtId="0" fontId="199" fillId="17" borderId="63" xfId="0" applyFont="1" applyFill="1" applyBorder="1" applyAlignment="1" applyProtection="1">
      <alignment horizontal="center" vertical="center"/>
      <protection hidden="1"/>
    </xf>
    <xf numFmtId="0" fontId="172" fillId="0" borderId="65" xfId="0" applyFont="1" applyBorder="1" applyAlignment="1">
      <alignment horizontal="center"/>
    </xf>
    <xf numFmtId="0" fontId="172" fillId="0" borderId="6" xfId="0" applyFont="1" applyBorder="1" applyAlignment="1">
      <alignment horizontal="center"/>
    </xf>
    <xf numFmtId="0" fontId="199" fillId="17" borderId="16" xfId="0" applyFont="1" applyFill="1" applyBorder="1" applyAlignment="1" applyProtection="1">
      <alignment horizontal="center" vertical="center"/>
      <protection hidden="1"/>
    </xf>
    <xf numFmtId="0" fontId="69" fillId="15" borderId="83" xfId="0" applyFont="1" applyFill="1" applyBorder="1" applyAlignment="1" applyProtection="1">
      <alignment horizontal="center" vertical="center" wrapText="1" shrinkToFit="1"/>
      <protection hidden="1"/>
    </xf>
    <xf numFmtId="3" fontId="43" fillId="17" borderId="25" xfId="0" applyNumberFormat="1" applyFont="1" applyFill="1" applyBorder="1" applyAlignment="1" applyProtection="1">
      <alignment vertical="top"/>
      <protection hidden="1"/>
    </xf>
    <xf numFmtId="3" fontId="26" fillId="17" borderId="109" xfId="0" applyNumberFormat="1" applyFont="1" applyFill="1" applyBorder="1" applyAlignment="1" applyProtection="1">
      <alignment vertical="top"/>
      <protection hidden="1"/>
    </xf>
    <xf numFmtId="0" fontId="0" fillId="17" borderId="115" xfId="0" applyFill="1" applyBorder="1" applyProtection="1">
      <protection hidden="1"/>
    </xf>
    <xf numFmtId="0" fontId="0" fillId="17" borderId="116" xfId="0" applyFill="1" applyBorder="1" applyProtection="1">
      <protection hidden="1"/>
    </xf>
    <xf numFmtId="0" fontId="0" fillId="17" borderId="117" xfId="0" applyFill="1" applyBorder="1" applyProtection="1">
      <protection hidden="1"/>
    </xf>
    <xf numFmtId="3" fontId="64" fillId="18" borderId="0" xfId="0" applyNumberFormat="1" applyFont="1" applyFill="1" applyAlignment="1" applyProtection="1">
      <alignment horizontal="center" vertical="top" wrapText="1" shrinkToFit="1"/>
      <protection hidden="1"/>
    </xf>
    <xf numFmtId="3" fontId="26" fillId="17" borderId="111" xfId="0" applyNumberFormat="1" applyFont="1" applyFill="1" applyBorder="1" applyAlignment="1" applyProtection="1">
      <alignment vertical="top"/>
      <protection hidden="1"/>
    </xf>
    <xf numFmtId="0" fontId="44" fillId="18" borderId="59" xfId="0" applyFont="1" applyFill="1" applyBorder="1" applyAlignment="1" applyProtection="1">
      <alignment horizontal="center"/>
      <protection hidden="1"/>
    </xf>
    <xf numFmtId="3" fontId="199" fillId="39" borderId="14" xfId="0" applyNumberFormat="1" applyFont="1" applyFill="1" applyBorder="1" applyAlignment="1" applyProtection="1">
      <alignment horizontal="right"/>
      <protection locked="0"/>
    </xf>
    <xf numFmtId="3" fontId="199" fillId="39" borderId="16" xfId="0" applyNumberFormat="1" applyFont="1" applyFill="1" applyBorder="1" applyAlignment="1" applyProtection="1">
      <alignment horizontal="right"/>
      <protection locked="0"/>
    </xf>
    <xf numFmtId="3" fontId="199" fillId="39" borderId="15" xfId="0" applyNumberFormat="1" applyFont="1" applyFill="1" applyBorder="1" applyAlignment="1" applyProtection="1">
      <alignment horizontal="right"/>
      <protection locked="0"/>
    </xf>
    <xf numFmtId="3" fontId="199" fillId="39" borderId="14" xfId="0" applyNumberFormat="1" applyFont="1" applyFill="1" applyBorder="1" applyAlignment="1" applyProtection="1">
      <alignment horizontal="right" wrapText="1"/>
      <protection locked="0"/>
    </xf>
    <xf numFmtId="3" fontId="199" fillId="39" borderId="16" xfId="0" applyNumberFormat="1" applyFont="1" applyFill="1" applyBorder="1" applyAlignment="1" applyProtection="1">
      <alignment horizontal="right" wrapText="1"/>
      <protection locked="0"/>
    </xf>
    <xf numFmtId="0" fontId="80" fillId="18" borderId="0" xfId="0" applyFont="1" applyFill="1" applyAlignment="1" applyProtection="1">
      <alignment horizontal="center" vertical="top" wrapText="1" shrinkToFit="1"/>
      <protection hidden="1"/>
    </xf>
    <xf numFmtId="0" fontId="25" fillId="18" borderId="0" xfId="0" applyFont="1" applyFill="1" applyAlignment="1" applyProtection="1">
      <alignment horizontal="center" vertical="top" wrapText="1" shrinkToFit="1"/>
      <protection hidden="1"/>
    </xf>
    <xf numFmtId="0" fontId="172" fillId="0" borderId="93" xfId="0" applyFont="1" applyBorder="1" applyAlignment="1">
      <alignment horizontal="center"/>
    </xf>
    <xf numFmtId="0" fontId="172" fillId="0" borderId="3" xfId="0" applyFont="1" applyBorder="1" applyAlignment="1">
      <alignment horizontal="center"/>
    </xf>
    <xf numFmtId="0" fontId="43" fillId="17" borderId="25" xfId="0" applyFont="1" applyFill="1" applyBorder="1" applyAlignment="1" applyProtection="1">
      <alignment horizontal="left" vertical="top" wrapText="1" shrinkToFit="1"/>
      <protection hidden="1"/>
    </xf>
    <xf numFmtId="3" fontId="26" fillId="17" borderId="10" xfId="0" applyNumberFormat="1" applyFont="1" applyFill="1" applyBorder="1" applyAlignment="1" applyProtection="1">
      <alignment vertical="top"/>
      <protection hidden="1"/>
    </xf>
    <xf numFmtId="0" fontId="236" fillId="33" borderId="15" xfId="0" applyFont="1" applyFill="1" applyBorder="1" applyAlignment="1" applyProtection="1">
      <alignment horizontal="center"/>
      <protection locked="0"/>
    </xf>
    <xf numFmtId="0" fontId="236" fillId="33" borderId="65" xfId="0" applyFont="1" applyFill="1" applyBorder="1" applyAlignment="1" applyProtection="1">
      <alignment horizontal="center"/>
      <protection locked="0"/>
    </xf>
    <xf numFmtId="0" fontId="236" fillId="33" borderId="6" xfId="0" applyFont="1" applyFill="1" applyBorder="1" applyAlignment="1" applyProtection="1">
      <alignment horizontal="center"/>
      <protection locked="0"/>
    </xf>
    <xf numFmtId="0" fontId="43" fillId="17" borderId="10" xfId="0" applyFont="1" applyFill="1" applyBorder="1" applyAlignment="1" applyProtection="1">
      <alignment horizontal="left" vertical="top" wrapText="1" shrinkToFit="1"/>
      <protection hidden="1"/>
    </xf>
    <xf numFmtId="0" fontId="0" fillId="17" borderId="118" xfId="0" applyFill="1" applyBorder="1" applyProtection="1">
      <protection hidden="1"/>
    </xf>
    <xf numFmtId="0" fontId="0" fillId="17" borderId="119" xfId="0" applyFill="1" applyBorder="1" applyProtection="1">
      <protection hidden="1"/>
    </xf>
    <xf numFmtId="0" fontId="0" fillId="17" borderId="120" xfId="0" applyFill="1" applyBorder="1" applyProtection="1">
      <protection hidden="1"/>
    </xf>
    <xf numFmtId="3" fontId="26" fillId="17" borderId="110" xfId="0" applyNumberFormat="1" applyFont="1" applyFill="1" applyBorder="1" applyAlignment="1" applyProtection="1">
      <alignment vertical="top"/>
      <protection hidden="1"/>
    </xf>
    <xf numFmtId="0" fontId="90" fillId="27" borderId="34" xfId="0" applyFont="1" applyFill="1" applyBorder="1" applyAlignment="1" applyProtection="1">
      <alignment horizontal="center" vertical="center"/>
      <protection hidden="1"/>
    </xf>
    <xf numFmtId="0" fontId="89" fillId="27" borderId="154" xfId="0" applyFont="1" applyFill="1" applyBorder="1" applyAlignment="1">
      <alignment horizontal="center" vertical="center"/>
    </xf>
    <xf numFmtId="0" fontId="27" fillId="18" borderId="0" xfId="0" applyFont="1" applyFill="1" applyAlignment="1" applyProtection="1">
      <alignment horizontal="left"/>
      <protection locked="0"/>
    </xf>
    <xf numFmtId="1" fontId="27" fillId="33" borderId="2" xfId="0" applyNumberFormat="1" applyFont="1" applyFill="1" applyBorder="1" applyAlignment="1" applyProtection="1">
      <alignment horizontal="left"/>
      <protection locked="0"/>
    </xf>
    <xf numFmtId="1" fontId="27" fillId="33" borderId="2" xfId="0" quotePrefix="1" applyNumberFormat="1" applyFont="1" applyFill="1" applyBorder="1" applyAlignment="1" applyProtection="1">
      <alignment horizontal="left"/>
      <protection locked="0"/>
    </xf>
    <xf numFmtId="0" fontId="27" fillId="33" borderId="0" xfId="0" applyFont="1" applyFill="1" applyAlignment="1" applyProtection="1">
      <alignment horizontal="left"/>
      <protection locked="0"/>
    </xf>
    <xf numFmtId="166" fontId="27" fillId="33" borderId="0" xfId="0" applyNumberFormat="1" applyFont="1" applyFill="1" applyAlignment="1" applyProtection="1">
      <alignment horizontal="left"/>
      <protection locked="0"/>
    </xf>
    <xf numFmtId="167" fontId="27" fillId="33" borderId="0" xfId="0" applyNumberFormat="1" applyFont="1" applyFill="1" applyAlignment="1" applyProtection="1">
      <alignment horizontal="left"/>
      <protection locked="0"/>
    </xf>
    <xf numFmtId="3" fontId="32" fillId="33" borderId="12" xfId="0" applyNumberFormat="1" applyFont="1" applyFill="1" applyBorder="1" applyAlignment="1" applyProtection="1">
      <alignment horizontal="right"/>
      <protection locked="0"/>
    </xf>
    <xf numFmtId="0" fontId="71" fillId="33" borderId="12" xfId="0" applyFont="1" applyFill="1" applyBorder="1" applyProtection="1">
      <protection locked="0"/>
    </xf>
    <xf numFmtId="0" fontId="71" fillId="33" borderId="151" xfId="0" applyFont="1" applyFill="1" applyBorder="1" applyProtection="1">
      <protection locked="0"/>
    </xf>
    <xf numFmtId="3" fontId="32" fillId="33" borderId="150" xfId="0" applyNumberFormat="1" applyFont="1" applyFill="1" applyBorder="1" applyAlignment="1" applyProtection="1">
      <alignment horizontal="right"/>
      <protection locked="0"/>
    </xf>
    <xf numFmtId="0" fontId="71" fillId="33" borderId="82" xfId="0" applyFont="1" applyFill="1" applyBorder="1" applyProtection="1">
      <protection locked="0"/>
    </xf>
    <xf numFmtId="3" fontId="32" fillId="33" borderId="58" xfId="0" applyNumberFormat="1" applyFont="1" applyFill="1" applyBorder="1" applyAlignment="1" applyProtection="1">
      <alignment horizontal="right"/>
      <protection locked="0"/>
    </xf>
    <xf numFmtId="3" fontId="32" fillId="33" borderId="59" xfId="0" applyNumberFormat="1" applyFont="1" applyFill="1" applyBorder="1" applyAlignment="1" applyProtection="1">
      <alignment horizontal="right"/>
      <protection locked="0"/>
    </xf>
    <xf numFmtId="3" fontId="32" fillId="33" borderId="61" xfId="0" applyNumberFormat="1" applyFont="1" applyFill="1" applyBorder="1" applyAlignment="1" applyProtection="1">
      <alignment horizontal="right"/>
      <protection locked="0"/>
    </xf>
    <xf numFmtId="3" fontId="49" fillId="17" borderId="25" xfId="0" applyNumberFormat="1" applyFont="1" applyFill="1" applyBorder="1" applyAlignment="1" applyProtection="1">
      <alignment horizontal="right"/>
      <protection hidden="1"/>
    </xf>
    <xf numFmtId="0" fontId="7" fillId="17" borderId="25" xfId="0" applyFont="1" applyFill="1" applyBorder="1" applyProtection="1">
      <protection hidden="1"/>
    </xf>
    <xf numFmtId="0" fontId="29" fillId="17" borderId="91" xfId="0" applyFont="1" applyFill="1" applyBorder="1" applyAlignment="1" applyProtection="1">
      <protection hidden="1"/>
    </xf>
    <xf numFmtId="0" fontId="29" fillId="17" borderId="89" xfId="0" applyFont="1" applyFill="1" applyBorder="1" applyAlignment="1" applyProtection="1">
      <protection hidden="1"/>
    </xf>
    <xf numFmtId="0" fontId="29" fillId="17" borderId="103" xfId="0" applyFont="1" applyFill="1" applyBorder="1" applyAlignment="1" applyProtection="1">
      <protection hidden="1"/>
    </xf>
    <xf numFmtId="0" fontId="0" fillId="17" borderId="159" xfId="0" applyFill="1" applyBorder="1" applyAlignment="1">
      <alignment vertical="center"/>
    </xf>
    <xf numFmtId="0" fontId="0" fillId="17" borderId="160" xfId="0" applyFill="1" applyBorder="1" applyAlignment="1">
      <alignment vertical="center"/>
    </xf>
    <xf numFmtId="3" fontId="32" fillId="0" borderId="55" xfId="0" applyNumberFormat="1" applyFont="1" applyFill="1" applyBorder="1" applyAlignment="1" applyProtection="1">
      <alignment horizontal="right"/>
      <protection hidden="1"/>
    </xf>
    <xf numFmtId="3" fontId="32" fillId="0" borderId="56" xfId="0" applyNumberFormat="1" applyFont="1" applyFill="1" applyBorder="1" applyAlignment="1" applyProtection="1">
      <alignment horizontal="right"/>
      <protection hidden="1"/>
    </xf>
    <xf numFmtId="15" fontId="120" fillId="27" borderId="35" xfId="0" applyNumberFormat="1" applyFont="1" applyFill="1" applyBorder="1" applyAlignment="1" applyProtection="1">
      <alignment horizontal="center"/>
      <protection hidden="1"/>
    </xf>
    <xf numFmtId="0" fontId="121" fillId="27" borderId="0" xfId="0" applyFont="1" applyFill="1" applyProtection="1">
      <protection hidden="1"/>
    </xf>
    <xf numFmtId="0" fontId="120" fillId="27" borderId="87" xfId="0" applyFont="1" applyFill="1" applyBorder="1" applyAlignment="1" applyProtection="1">
      <alignment horizontal="center"/>
      <protection hidden="1"/>
    </xf>
    <xf numFmtId="0" fontId="121" fillId="27" borderId="149" xfId="0" applyFont="1" applyFill="1" applyBorder="1" applyProtection="1">
      <protection hidden="1"/>
    </xf>
    <xf numFmtId="0" fontId="122" fillId="27" borderId="149" xfId="0" applyFont="1" applyFill="1" applyBorder="1" applyAlignment="1" applyProtection="1">
      <alignment horizontal="center"/>
      <protection hidden="1"/>
    </xf>
    <xf numFmtId="0" fontId="122" fillId="27" borderId="36" xfId="0" applyFont="1" applyFill="1" applyBorder="1" applyAlignment="1" applyProtection="1">
      <alignment horizontal="center"/>
      <protection hidden="1"/>
    </xf>
    <xf numFmtId="0" fontId="120" fillId="27" borderId="149" xfId="0" applyFont="1" applyFill="1" applyBorder="1" applyAlignment="1" applyProtection="1">
      <alignment horizontal="center"/>
      <protection hidden="1"/>
    </xf>
    <xf numFmtId="3" fontId="32" fillId="33" borderId="10" xfId="0" applyNumberFormat="1" applyFont="1" applyFill="1" applyBorder="1" applyAlignment="1" applyProtection="1">
      <alignment horizontal="right"/>
      <protection locked="0"/>
    </xf>
    <xf numFmtId="0" fontId="71" fillId="33" borderId="10" xfId="0" applyFont="1" applyFill="1" applyBorder="1" applyProtection="1">
      <protection locked="0"/>
    </xf>
    <xf numFmtId="0" fontId="71" fillId="33" borderId="4" xfId="0" applyFont="1" applyFill="1" applyBorder="1" applyProtection="1">
      <protection locked="0"/>
    </xf>
    <xf numFmtId="3" fontId="32" fillId="33" borderId="35" xfId="0" applyNumberFormat="1" applyFont="1" applyFill="1" applyBorder="1" applyAlignment="1" applyProtection="1">
      <alignment horizontal="right"/>
      <protection locked="0"/>
    </xf>
    <xf numFmtId="3" fontId="32" fillId="33" borderId="0" xfId="0" applyNumberFormat="1" applyFont="1" applyFill="1" applyBorder="1" applyAlignment="1" applyProtection="1">
      <alignment horizontal="right"/>
      <protection locked="0"/>
    </xf>
    <xf numFmtId="3" fontId="32" fillId="33" borderId="13" xfId="0" applyNumberFormat="1" applyFont="1" applyFill="1" applyBorder="1" applyAlignment="1" applyProtection="1">
      <alignment horizontal="right"/>
      <protection locked="0"/>
    </xf>
    <xf numFmtId="0" fontId="27" fillId="17" borderId="94" xfId="0" applyFont="1" applyFill="1" applyBorder="1" applyAlignment="1" applyProtection="1">
      <protection hidden="1"/>
    </xf>
    <xf numFmtId="0" fontId="27" fillId="17" borderId="96" xfId="0" applyFont="1" applyFill="1" applyBorder="1" applyAlignment="1" applyProtection="1">
      <protection hidden="1"/>
    </xf>
    <xf numFmtId="0" fontId="27" fillId="17" borderId="97" xfId="0" applyFont="1" applyFill="1" applyBorder="1" applyAlignment="1" applyProtection="1">
      <protection hidden="1"/>
    </xf>
    <xf numFmtId="3" fontId="32" fillId="0" borderId="95" xfId="0" applyNumberFormat="1" applyFont="1" applyFill="1" applyBorder="1" applyAlignment="1" applyProtection="1">
      <alignment horizontal="right"/>
      <protection hidden="1"/>
    </xf>
    <xf numFmtId="3" fontId="32" fillId="0" borderId="97" xfId="0" applyNumberFormat="1" applyFont="1" applyFill="1" applyBorder="1" applyAlignment="1" applyProtection="1">
      <alignment horizontal="right"/>
      <protection hidden="1"/>
    </xf>
    <xf numFmtId="3" fontId="32" fillId="0" borderId="95" xfId="1" applyNumberFormat="1" applyFont="1" applyFill="1" applyBorder="1" applyAlignment="1" applyProtection="1">
      <alignment horizontal="right"/>
      <protection hidden="1"/>
    </xf>
    <xf numFmtId="3" fontId="32" fillId="0" borderId="97" xfId="1" applyNumberFormat="1" applyFont="1" applyFill="1" applyBorder="1" applyAlignment="1" applyProtection="1">
      <alignment horizontal="right"/>
      <protection hidden="1"/>
    </xf>
    <xf numFmtId="3" fontId="32" fillId="33" borderId="152" xfId="0" applyNumberFormat="1" applyFont="1" applyFill="1" applyBorder="1" applyAlignment="1" applyProtection="1">
      <alignment horizontal="right"/>
      <protection locked="0"/>
    </xf>
    <xf numFmtId="0" fontId="71" fillId="33" borderId="153" xfId="0" applyFont="1" applyFill="1" applyBorder="1" applyProtection="1">
      <protection locked="0"/>
    </xf>
    <xf numFmtId="0" fontId="0" fillId="17" borderId="157" xfId="0" applyFill="1" applyBorder="1" applyAlignment="1">
      <alignment vertical="center"/>
    </xf>
    <xf numFmtId="0" fontId="0" fillId="17" borderId="158" xfId="0" applyFill="1" applyBorder="1" applyAlignment="1">
      <alignment vertical="center"/>
    </xf>
    <xf numFmtId="3" fontId="32" fillId="0" borderId="31" xfId="0" applyNumberFormat="1" applyFont="1" applyFill="1" applyBorder="1" applyAlignment="1" applyProtection="1">
      <alignment horizontal="right"/>
      <protection hidden="1"/>
    </xf>
    <xf numFmtId="3" fontId="32" fillId="0" borderId="32" xfId="0" applyNumberFormat="1" applyFont="1" applyFill="1" applyBorder="1" applyAlignment="1" applyProtection="1">
      <alignment horizontal="right"/>
      <protection hidden="1"/>
    </xf>
    <xf numFmtId="3" fontId="32" fillId="33" borderId="60" xfId="0" applyNumberFormat="1" applyFont="1" applyFill="1" applyBorder="1" applyAlignment="1" applyProtection="1">
      <alignment horizontal="center"/>
      <protection locked="0"/>
    </xf>
    <xf numFmtId="3" fontId="32" fillId="33" borderId="59" xfId="0" applyNumberFormat="1" applyFont="1" applyFill="1" applyBorder="1" applyAlignment="1" applyProtection="1">
      <alignment horizontal="center"/>
      <protection locked="0"/>
    </xf>
    <xf numFmtId="3" fontId="32" fillId="33" borderId="30" xfId="0" applyNumberFormat="1" applyFont="1" applyFill="1" applyBorder="1" applyAlignment="1" applyProtection="1">
      <alignment horizontal="right"/>
      <protection locked="0"/>
    </xf>
    <xf numFmtId="3" fontId="32" fillId="33" borderId="32" xfId="0" applyNumberFormat="1" applyFont="1" applyFill="1" applyBorder="1" applyAlignment="1" applyProtection="1">
      <alignment horizontal="right"/>
      <protection locked="0"/>
    </xf>
    <xf numFmtId="0" fontId="82" fillId="18" borderId="8" xfId="0" applyFont="1" applyFill="1" applyBorder="1" applyAlignment="1" applyProtection="1">
      <alignment horizontal="center" vertical="top" wrapText="1" shrinkToFit="1"/>
      <protection hidden="1"/>
    </xf>
    <xf numFmtId="3" fontId="26" fillId="17" borderId="115" xfId="0" applyNumberFormat="1" applyFont="1" applyFill="1" applyBorder="1" applyAlignment="1" applyProtection="1">
      <alignment vertical="top"/>
      <protection hidden="1"/>
    </xf>
    <xf numFmtId="3" fontId="26" fillId="17" borderId="116" xfId="0" applyNumberFormat="1" applyFont="1" applyFill="1" applyBorder="1" applyAlignment="1" applyProtection="1">
      <alignment vertical="top"/>
      <protection hidden="1"/>
    </xf>
    <xf numFmtId="3" fontId="26" fillId="17" borderId="117" xfId="0" applyNumberFormat="1" applyFont="1" applyFill="1" applyBorder="1" applyAlignment="1" applyProtection="1">
      <alignment vertical="top"/>
      <protection hidden="1"/>
    </xf>
    <xf numFmtId="0" fontId="80" fillId="18" borderId="0" xfId="0" applyFont="1" applyFill="1" applyBorder="1" applyAlignment="1" applyProtection="1">
      <alignment horizontal="center" vertical="top" wrapText="1" shrinkToFit="1"/>
      <protection hidden="1"/>
    </xf>
    <xf numFmtId="0" fontId="95" fillId="27" borderId="103" xfId="0" applyFont="1" applyFill="1" applyBorder="1" applyAlignment="1" applyProtection="1">
      <alignment horizontal="center" vertical="center"/>
      <protection hidden="1"/>
    </xf>
    <xf numFmtId="0" fontId="172" fillId="17" borderId="15" xfId="0" applyFont="1" applyFill="1" applyBorder="1" applyAlignment="1" applyProtection="1">
      <alignment horizontal="center"/>
      <protection hidden="1"/>
    </xf>
    <xf numFmtId="3" fontId="199" fillId="33" borderId="14" xfId="0" applyNumberFormat="1" applyFont="1" applyFill="1" applyBorder="1" applyAlignment="1" applyProtection="1">
      <alignment horizontal="center"/>
      <protection locked="0"/>
    </xf>
    <xf numFmtId="3" fontId="199" fillId="33" borderId="15" xfId="0" applyNumberFormat="1" applyFont="1" applyFill="1" applyBorder="1" applyAlignment="1" applyProtection="1">
      <alignment horizontal="center"/>
      <protection locked="0"/>
    </xf>
    <xf numFmtId="0" fontId="131" fillId="18" borderId="2" xfId="3" applyFont="1" applyFill="1" applyBorder="1" applyAlignment="1" applyProtection="1">
      <alignment horizontal="center" vertical="center"/>
      <protection hidden="1"/>
    </xf>
    <xf numFmtId="0" fontId="136" fillId="22" borderId="0" xfId="0" applyFont="1" applyFill="1" applyBorder="1" applyAlignment="1" applyProtection="1">
      <protection hidden="1"/>
    </xf>
    <xf numFmtId="0" fontId="136" fillId="22" borderId="0" xfId="0" applyFont="1" applyFill="1" applyBorder="1" applyAlignment="1" applyProtection="1">
      <alignment vertical="top"/>
      <protection hidden="1"/>
    </xf>
    <xf numFmtId="0" fontId="136" fillId="23" borderId="0" xfId="0" applyFont="1" applyFill="1" applyBorder="1" applyAlignment="1" applyProtection="1">
      <alignment vertical="top"/>
      <protection hidden="1"/>
    </xf>
    <xf numFmtId="0" fontId="136" fillId="23" borderId="0" xfId="0" applyFont="1" applyFill="1" applyBorder="1" applyAlignment="1" applyProtection="1">
      <alignment vertical="top" wrapText="1"/>
      <protection hidden="1"/>
    </xf>
    <xf numFmtId="0" fontId="25" fillId="36" borderId="0" xfId="0" applyFont="1" applyFill="1" applyBorder="1" applyAlignment="1" applyProtection="1">
      <alignment vertical="top" wrapText="1"/>
      <protection hidden="1"/>
    </xf>
    <xf numFmtId="0" fontId="73" fillId="35" borderId="0" xfId="0" applyFont="1" applyFill="1" applyProtection="1">
      <protection hidden="1"/>
    </xf>
    <xf numFmtId="0" fontId="73" fillId="35" borderId="134" xfId="0" applyFont="1" applyFill="1" applyBorder="1" applyProtection="1">
      <protection hidden="1"/>
    </xf>
    <xf numFmtId="0" fontId="146" fillId="33" borderId="104" xfId="0" applyFont="1" applyFill="1" applyBorder="1" applyAlignment="1" applyProtection="1">
      <alignment horizontal="left" vertical="top" wrapText="1" shrinkToFit="1"/>
      <protection locked="0"/>
    </xf>
    <xf numFmtId="0" fontId="134" fillId="26" borderId="2" xfId="3" applyFont="1" applyFill="1" applyBorder="1" applyAlignment="1" applyProtection="1">
      <alignment horizontal="center" vertical="center"/>
      <protection hidden="1"/>
    </xf>
    <xf numFmtId="0" fontId="134" fillId="26" borderId="0" xfId="3" applyFont="1" applyFill="1" applyBorder="1" applyAlignment="1" applyProtection="1">
      <alignment horizontal="center" vertical="center"/>
      <protection hidden="1"/>
    </xf>
    <xf numFmtId="0" fontId="43" fillId="26" borderId="104" xfId="0" applyFont="1" applyFill="1" applyBorder="1" applyAlignment="1" applyProtection="1">
      <alignment horizontal="center" vertical="top"/>
      <protection hidden="1"/>
    </xf>
    <xf numFmtId="0" fontId="146" fillId="33" borderId="104" xfId="0" applyFont="1" applyFill="1" applyBorder="1" applyAlignment="1" applyProtection="1">
      <alignment horizontal="left" vertical="top" wrapText="1" shrinkToFit="1"/>
      <protection hidden="1"/>
    </xf>
    <xf numFmtId="3" fontId="32" fillId="0" borderId="50" xfId="0" applyNumberFormat="1" applyFont="1" applyFill="1" applyBorder="1" applyAlignment="1" applyProtection="1">
      <alignment horizontal="right"/>
      <protection hidden="1"/>
    </xf>
    <xf numFmtId="3" fontId="32" fillId="0" borderId="51" xfId="0" applyNumberFormat="1" applyFont="1" applyFill="1" applyBorder="1" applyAlignment="1" applyProtection="1">
      <alignment horizontal="right"/>
      <protection hidden="1"/>
    </xf>
    <xf numFmtId="3" fontId="32" fillId="0" borderId="50" xfId="1" applyNumberFormat="1" applyFont="1" applyFill="1" applyBorder="1" applyAlignment="1" applyProtection="1">
      <alignment horizontal="right"/>
      <protection hidden="1"/>
    </xf>
    <xf numFmtId="3" fontId="32" fillId="0" borderId="51" xfId="1" applyNumberFormat="1" applyFont="1" applyFill="1" applyBorder="1" applyAlignment="1" applyProtection="1">
      <alignment horizontal="right"/>
      <protection hidden="1"/>
    </xf>
    <xf numFmtId="0" fontId="0" fillId="17" borderId="155" xfId="0" applyFill="1" applyBorder="1" applyAlignment="1">
      <alignment vertical="center"/>
    </xf>
    <xf numFmtId="0" fontId="0" fillId="17" borderId="156" xfId="0" applyFill="1" applyBorder="1" applyAlignment="1">
      <alignment vertical="center"/>
    </xf>
    <xf numFmtId="0" fontId="27" fillId="17" borderId="48" xfId="0" applyFont="1" applyFill="1" applyBorder="1" applyAlignment="1" applyProtection="1">
      <protection hidden="1"/>
    </xf>
    <xf numFmtId="0" fontId="27" fillId="17" borderId="49" xfId="0" applyFont="1" applyFill="1" applyBorder="1" applyAlignment="1" applyProtection="1">
      <protection hidden="1"/>
    </xf>
    <xf numFmtId="0" fontId="27" fillId="17" borderId="51" xfId="0" applyFont="1" applyFill="1" applyBorder="1" applyAlignment="1" applyProtection="1">
      <protection hidden="1"/>
    </xf>
    <xf numFmtId="15" fontId="120" fillId="27" borderId="0" xfId="0" applyNumberFormat="1" applyFont="1" applyFill="1" applyAlignment="1" applyProtection="1">
      <alignment horizontal="center"/>
      <protection hidden="1"/>
    </xf>
    <xf numFmtId="0" fontId="120" fillId="27" borderId="0" xfId="0" applyFont="1" applyFill="1" applyAlignment="1" applyProtection="1">
      <alignment horizontal="center"/>
      <protection hidden="1"/>
    </xf>
    <xf numFmtId="0" fontId="118" fillId="27" borderId="36" xfId="0" applyFont="1" applyFill="1" applyBorder="1" applyAlignment="1" applyProtection="1">
      <alignment horizontal="center" vertical="center"/>
      <protection hidden="1"/>
    </xf>
    <xf numFmtId="0" fontId="118" fillId="27" borderId="37" xfId="0" applyFont="1" applyFill="1" applyBorder="1" applyAlignment="1" applyProtection="1">
      <alignment horizontal="center" vertical="center"/>
      <protection hidden="1"/>
    </xf>
    <xf numFmtId="0" fontId="119" fillId="27" borderId="7" xfId="0" applyFont="1" applyFill="1" applyBorder="1" applyAlignment="1">
      <alignment horizontal="center" vertical="center"/>
    </xf>
    <xf numFmtId="0" fontId="119" fillId="27" borderId="9" xfId="0" applyFont="1" applyFill="1" applyBorder="1" applyAlignment="1">
      <alignment horizontal="center" vertical="center"/>
    </xf>
    <xf numFmtId="0" fontId="90" fillId="27" borderId="74" xfId="0" applyFont="1" applyFill="1" applyBorder="1" applyAlignment="1" applyProtection="1">
      <alignment horizontal="center" vertical="center"/>
      <protection hidden="1"/>
    </xf>
    <xf numFmtId="0" fontId="89" fillId="27" borderId="75" xfId="0" applyFont="1" applyFill="1" applyBorder="1" applyAlignment="1">
      <alignment horizontal="center" vertical="center"/>
    </xf>
    <xf numFmtId="0" fontId="89" fillId="27" borderId="37" xfId="0" applyFont="1" applyFill="1" applyBorder="1" applyAlignment="1">
      <alignment horizontal="center" vertical="center"/>
    </xf>
    <xf numFmtId="0" fontId="89" fillId="27" borderId="73" xfId="0" applyFont="1" applyFill="1" applyBorder="1" applyAlignment="1">
      <alignment horizontal="center" vertical="center"/>
    </xf>
    <xf numFmtId="0" fontId="89" fillId="27" borderId="8" xfId="0" applyFont="1" applyFill="1" applyBorder="1" applyAlignment="1">
      <alignment horizontal="center" vertical="center"/>
    </xf>
    <xf numFmtId="0" fontId="89" fillId="27" borderId="9" xfId="0" applyFont="1" applyFill="1" applyBorder="1" applyAlignment="1">
      <alignment horizontal="center" vertical="center"/>
    </xf>
    <xf numFmtId="3" fontId="49" fillId="17" borderId="88" xfId="0" applyNumberFormat="1" applyFont="1" applyFill="1" applyBorder="1" applyAlignment="1" applyProtection="1">
      <alignment horizontal="right"/>
      <protection hidden="1"/>
    </xf>
    <xf numFmtId="3" fontId="49" fillId="17" borderId="103" xfId="0" applyNumberFormat="1" applyFont="1" applyFill="1" applyBorder="1" applyAlignment="1" applyProtection="1">
      <alignment horizontal="right"/>
      <protection hidden="1"/>
    </xf>
    <xf numFmtId="0" fontId="59" fillId="18" borderId="0" xfId="0" applyFont="1" applyFill="1" applyAlignment="1" applyProtection="1">
      <alignment horizontal="center" vertical="center"/>
      <protection hidden="1"/>
    </xf>
    <xf numFmtId="0" fontId="118" fillId="27" borderId="7" xfId="0" applyFont="1" applyFill="1" applyBorder="1" applyAlignment="1" applyProtection="1">
      <alignment horizontal="center" vertical="center"/>
      <protection hidden="1"/>
    </xf>
    <xf numFmtId="0" fontId="118" fillId="27" borderId="9" xfId="0" applyFont="1" applyFill="1" applyBorder="1" applyAlignment="1" applyProtection="1">
      <alignment horizontal="center" vertical="center"/>
      <protection hidden="1"/>
    </xf>
    <xf numFmtId="3" fontId="32" fillId="0" borderId="4" xfId="0" applyNumberFormat="1" applyFont="1" applyFill="1" applyBorder="1" applyAlignment="1" applyProtection="1">
      <alignment horizontal="right"/>
      <protection hidden="1"/>
    </xf>
    <xf numFmtId="3" fontId="32" fillId="0" borderId="6" xfId="0" applyNumberFormat="1" applyFont="1" applyFill="1" applyBorder="1" applyAlignment="1" applyProtection="1">
      <alignment horizontal="right"/>
      <protection hidden="1"/>
    </xf>
    <xf numFmtId="3" fontId="32" fillId="0" borderId="4" xfId="1" applyNumberFormat="1" applyFont="1" applyFill="1" applyBorder="1" applyAlignment="1" applyProtection="1">
      <alignment horizontal="right"/>
      <protection hidden="1"/>
    </xf>
    <xf numFmtId="3" fontId="32" fillId="0" borderId="6" xfId="1" applyNumberFormat="1" applyFont="1" applyFill="1" applyBorder="1" applyAlignment="1" applyProtection="1">
      <alignment horizontal="right"/>
      <protection hidden="1"/>
    </xf>
    <xf numFmtId="0" fontId="83" fillId="18" borderId="0" xfId="0" applyFont="1" applyFill="1" applyAlignment="1" applyProtection="1">
      <alignment horizontal="center" vertical="center"/>
      <protection hidden="1"/>
    </xf>
    <xf numFmtId="3" fontId="32" fillId="0" borderId="10" xfId="0" applyNumberFormat="1" applyFont="1" applyFill="1" applyBorder="1" applyProtection="1">
      <protection hidden="1"/>
    </xf>
    <xf numFmtId="3" fontId="32" fillId="0" borderId="12" xfId="0" applyNumberFormat="1" applyFont="1" applyFill="1" applyBorder="1" applyProtection="1">
      <protection hidden="1"/>
    </xf>
    <xf numFmtId="3" fontId="32" fillId="0" borderId="11" xfId="0" applyNumberFormat="1" applyFont="1" applyFill="1" applyBorder="1" applyProtection="1">
      <protection hidden="1"/>
    </xf>
    <xf numFmtId="0" fontId="86" fillId="15" borderId="3" xfId="0" applyFont="1" applyFill="1" applyBorder="1" applyAlignment="1" applyProtection="1">
      <alignment horizontal="center" vertical="center"/>
      <protection hidden="1"/>
    </xf>
    <xf numFmtId="3" fontId="26" fillId="15" borderId="50" xfId="0" applyNumberFormat="1" applyFont="1" applyFill="1" applyBorder="1" applyAlignment="1" applyProtection="1">
      <alignment horizontal="right"/>
      <protection hidden="1"/>
    </xf>
    <xf numFmtId="3" fontId="32" fillId="0" borderId="10" xfId="0" applyNumberFormat="1" applyFont="1" applyFill="1" applyBorder="1" applyAlignment="1" applyProtection="1">
      <alignment horizontal="right"/>
      <protection hidden="1"/>
    </xf>
    <xf numFmtId="3" fontId="32" fillId="0" borderId="12" xfId="0" applyNumberFormat="1" applyFont="1" applyFill="1" applyBorder="1" applyAlignment="1" applyProtection="1">
      <alignment horizontal="right"/>
      <protection hidden="1"/>
    </xf>
    <xf numFmtId="3" fontId="32" fillId="0" borderId="11" xfId="0" applyNumberFormat="1" applyFont="1" applyFill="1" applyBorder="1" applyAlignment="1" applyProtection="1">
      <alignment horizontal="right"/>
      <protection hidden="1"/>
    </xf>
    <xf numFmtId="0" fontId="67" fillId="18" borderId="0" xfId="0" applyFont="1" applyFill="1" applyAlignment="1" applyProtection="1">
      <alignment horizontal="center"/>
      <protection hidden="1"/>
    </xf>
    <xf numFmtId="0" fontId="228" fillId="4" borderId="14" xfId="0" applyFont="1" applyFill="1" applyBorder="1" applyAlignment="1" applyProtection="1">
      <alignment horizontal="center" vertical="center"/>
    </xf>
    <xf numFmtId="0" fontId="228" fillId="4" borderId="16" xfId="0" applyFont="1" applyFill="1" applyBorder="1" applyAlignment="1" applyProtection="1">
      <alignment horizontal="center" vertical="center"/>
    </xf>
    <xf numFmtId="0" fontId="228" fillId="4" borderId="15" xfId="0" applyFont="1" applyFill="1" applyBorder="1" applyAlignment="1" applyProtection="1">
      <alignment horizontal="center" vertical="center"/>
    </xf>
    <xf numFmtId="3" fontId="26" fillId="14" borderId="55" xfId="0" applyNumberFormat="1" applyFont="1" applyFill="1" applyBorder="1" applyAlignment="1" applyProtection="1">
      <alignment horizontal="right"/>
      <protection hidden="1"/>
    </xf>
    <xf numFmtId="0" fontId="68" fillId="15" borderId="4" xfId="0" applyFont="1" applyFill="1" applyBorder="1" applyAlignment="1" applyProtection="1">
      <alignment horizontal="center" vertical="center"/>
      <protection hidden="1"/>
    </xf>
    <xf numFmtId="0" fontId="68" fillId="15" borderId="5" xfId="0" applyFont="1" applyFill="1" applyBorder="1" applyAlignment="1" applyProtection="1">
      <alignment horizontal="center" vertical="center"/>
      <protection hidden="1"/>
    </xf>
    <xf numFmtId="0" fontId="68" fillId="15" borderId="6" xfId="0" applyFont="1" applyFill="1" applyBorder="1" applyAlignment="1" applyProtection="1">
      <alignment horizontal="center" vertical="center"/>
      <protection hidden="1"/>
    </xf>
    <xf numFmtId="0" fontId="68" fillId="15" borderId="7" xfId="0" applyFont="1" applyFill="1" applyBorder="1" applyAlignment="1" applyProtection="1">
      <alignment horizontal="center" vertical="center"/>
      <protection hidden="1"/>
    </xf>
    <xf numFmtId="0" fontId="68" fillId="15" borderId="8" xfId="0" applyFont="1" applyFill="1" applyBorder="1" applyAlignment="1" applyProtection="1">
      <alignment horizontal="center" vertical="center"/>
      <protection hidden="1"/>
    </xf>
    <xf numFmtId="0" fontId="68" fillId="15" borderId="9" xfId="0" applyFont="1" applyFill="1" applyBorder="1" applyAlignment="1" applyProtection="1">
      <alignment horizontal="center" vertical="center"/>
      <protection hidden="1"/>
    </xf>
    <xf numFmtId="4" fontId="26" fillId="14" borderId="55" xfId="0" applyNumberFormat="1" applyFont="1" applyFill="1" applyBorder="1" applyAlignment="1" applyProtection="1">
      <alignment horizontal="right"/>
      <protection hidden="1"/>
    </xf>
    <xf numFmtId="0" fontId="0" fillId="17" borderId="57" xfId="0" applyFill="1" applyBorder="1" applyProtection="1">
      <protection hidden="1"/>
    </xf>
    <xf numFmtId="4" fontId="55" fillId="17" borderId="49" xfId="0" applyNumberFormat="1" applyFont="1" applyFill="1" applyBorder="1" applyAlignment="1" applyProtection="1">
      <alignment horizontal="right"/>
      <protection hidden="1"/>
    </xf>
    <xf numFmtId="3" fontId="26" fillId="17" borderId="50" xfId="0" applyNumberFormat="1" applyFont="1" applyFill="1" applyBorder="1" applyAlignment="1" applyProtection="1">
      <alignment horizontal="right"/>
      <protection hidden="1"/>
    </xf>
    <xf numFmtId="3" fontId="26" fillId="14" borderId="50" xfId="0" applyNumberFormat="1" applyFont="1" applyFill="1" applyBorder="1" applyAlignment="1" applyProtection="1">
      <alignment horizontal="right"/>
      <protection hidden="1"/>
    </xf>
    <xf numFmtId="0" fontId="27" fillId="0" borderId="7" xfId="0" applyFont="1" applyFill="1" applyBorder="1" applyAlignment="1" applyProtection="1">
      <protection hidden="1"/>
    </xf>
    <xf numFmtId="0" fontId="27" fillId="0" borderId="8" xfId="0" applyFont="1" applyFill="1" applyBorder="1" applyAlignment="1" applyProtection="1">
      <protection hidden="1"/>
    </xf>
    <xf numFmtId="0" fontId="27" fillId="0" borderId="9" xfId="0" applyFont="1" applyFill="1" applyBorder="1" applyAlignment="1" applyProtection="1">
      <protection hidden="1"/>
    </xf>
    <xf numFmtId="0" fontId="172" fillId="17" borderId="63" xfId="0" applyFont="1" applyFill="1" applyBorder="1" applyAlignment="1" applyProtection="1">
      <alignment horizontal="center"/>
      <protection hidden="1"/>
    </xf>
    <xf numFmtId="0" fontId="27" fillId="0" borderId="4" xfId="0" applyFont="1" applyFill="1" applyBorder="1" applyAlignment="1" applyProtection="1">
      <protection hidden="1"/>
    </xf>
    <xf numFmtId="0" fontId="27" fillId="0" borderId="5" xfId="0" applyFont="1" applyFill="1" applyBorder="1" applyAlignment="1" applyProtection="1">
      <protection hidden="1"/>
    </xf>
    <xf numFmtId="0" fontId="27" fillId="0" borderId="6" xfId="0" applyFont="1" applyFill="1" applyBorder="1" applyAlignment="1" applyProtection="1">
      <protection hidden="1"/>
    </xf>
    <xf numFmtId="0" fontId="27" fillId="0" borderId="82" xfId="0" applyFont="1" applyFill="1" applyBorder="1" applyAlignment="1" applyProtection="1">
      <protection hidden="1"/>
    </xf>
    <xf numFmtId="0" fontId="27" fillId="0" borderId="0" xfId="0" applyFont="1" applyFill="1" applyBorder="1" applyAlignment="1" applyProtection="1">
      <protection hidden="1"/>
    </xf>
    <xf numFmtId="0" fontId="27" fillId="0" borderId="13" xfId="0" applyFont="1" applyFill="1" applyBorder="1" applyAlignment="1" applyProtection="1">
      <protection hidden="1"/>
    </xf>
    <xf numFmtId="0" fontId="26" fillId="17" borderId="44" xfId="0" applyFont="1" applyFill="1" applyBorder="1" applyProtection="1">
      <protection hidden="1"/>
    </xf>
    <xf numFmtId="0" fontId="26" fillId="17" borderId="47" xfId="0" applyFont="1" applyFill="1" applyBorder="1" applyProtection="1">
      <protection hidden="1"/>
    </xf>
    <xf numFmtId="3" fontId="26" fillId="13" borderId="50" xfId="0" applyNumberFormat="1" applyFont="1" applyFill="1" applyBorder="1" applyAlignment="1" applyProtection="1">
      <alignment horizontal="right"/>
      <protection hidden="1"/>
    </xf>
    <xf numFmtId="0" fontId="146" fillId="33" borderId="104" xfId="0" quotePrefix="1" applyFont="1" applyFill="1" applyBorder="1" applyAlignment="1" applyProtection="1">
      <alignment horizontal="left" vertical="top" wrapText="1" shrinkToFit="1"/>
      <protection locked="0"/>
    </xf>
    <xf numFmtId="0" fontId="73" fillId="35" borderId="0" xfId="0" applyFont="1" applyFill="1" applyAlignment="1" applyProtection="1">
      <protection hidden="1"/>
    </xf>
    <xf numFmtId="0" fontId="73" fillId="35" borderId="134" xfId="0" applyFont="1" applyFill="1" applyBorder="1" applyAlignment="1" applyProtection="1">
      <protection hidden="1"/>
    </xf>
    <xf numFmtId="0" fontId="146" fillId="33" borderId="147" xfId="0" applyFont="1" applyFill="1" applyBorder="1" applyAlignment="1" applyProtection="1">
      <alignment horizontal="left" vertical="top" wrapText="1" shrinkToFit="1"/>
      <protection locked="0"/>
    </xf>
    <xf numFmtId="0" fontId="146" fillId="33" borderId="49" xfId="0" applyFont="1" applyFill="1" applyBorder="1" applyAlignment="1" applyProtection="1">
      <alignment horizontal="left" vertical="top" wrapText="1" shrinkToFit="1"/>
      <protection locked="0"/>
    </xf>
    <xf numFmtId="0" fontId="146" fillId="33" borderId="148" xfId="0" applyFont="1" applyFill="1" applyBorder="1" applyAlignment="1" applyProtection="1">
      <alignment horizontal="left" vertical="top" wrapText="1" shrinkToFit="1"/>
      <protection locked="0"/>
    </xf>
    <xf numFmtId="0" fontId="146" fillId="33" borderId="147" xfId="0" quotePrefix="1" applyFont="1" applyFill="1" applyBorder="1" applyAlignment="1" applyProtection="1">
      <alignment horizontal="left" vertical="top" wrapText="1" shrinkToFit="1"/>
      <protection locked="0"/>
    </xf>
    <xf numFmtId="15" fontId="44" fillId="18" borderId="59" xfId="0" quotePrefix="1" applyNumberFormat="1" applyFont="1" applyFill="1" applyBorder="1" applyAlignment="1" applyProtection="1">
      <alignment horizontal="center"/>
      <protection hidden="1"/>
    </xf>
    <xf numFmtId="0" fontId="0" fillId="17" borderId="112" xfId="0" applyFill="1" applyBorder="1" applyProtection="1">
      <protection hidden="1"/>
    </xf>
    <xf numFmtId="0" fontId="0" fillId="17" borderId="113" xfId="0" applyFill="1" applyBorder="1" applyProtection="1">
      <protection hidden="1"/>
    </xf>
    <xf numFmtId="0" fontId="0" fillId="17" borderId="114" xfId="0" applyFill="1" applyBorder="1" applyProtection="1">
      <protection hidden="1"/>
    </xf>
    <xf numFmtId="0" fontId="84" fillId="18" borderId="0" xfId="0" applyFont="1" applyFill="1" applyAlignment="1" applyProtection="1">
      <alignment horizontal="center" vertical="top" wrapText="1" shrinkToFit="1"/>
      <protection hidden="1"/>
    </xf>
    <xf numFmtId="0" fontId="199" fillId="17" borderId="15" xfId="0" applyFont="1" applyFill="1" applyBorder="1" applyAlignment="1" applyProtection="1">
      <alignment horizontal="center"/>
      <protection hidden="1"/>
    </xf>
    <xf numFmtId="0" fontId="0" fillId="17" borderId="0" xfId="0" applyFill="1" applyBorder="1"/>
    <xf numFmtId="0" fontId="122" fillId="27" borderId="83" xfId="0" applyFont="1" applyFill="1" applyBorder="1" applyAlignment="1" applyProtection="1">
      <alignment horizontal="center" vertical="center" wrapText="1" shrinkToFit="1"/>
      <protection hidden="1"/>
    </xf>
    <xf numFmtId="165" fontId="26" fillId="33" borderId="50" xfId="0" applyNumberFormat="1" applyFont="1" applyFill="1" applyBorder="1" applyAlignment="1" applyProtection="1">
      <alignment horizontal="right"/>
      <protection locked="0"/>
    </xf>
    <xf numFmtId="165" fontId="71" fillId="33" borderId="51" xfId="0" applyNumberFormat="1" applyFont="1" applyFill="1" applyBorder="1" applyProtection="1">
      <protection locked="0"/>
    </xf>
    <xf numFmtId="165" fontId="26" fillId="33" borderId="50" xfId="1" applyFont="1" applyFill="1" applyBorder="1" applyAlignment="1" applyProtection="1">
      <alignment horizontal="right"/>
      <protection locked="0"/>
    </xf>
    <xf numFmtId="165" fontId="71" fillId="33" borderId="51" xfId="1" applyFont="1" applyFill="1" applyBorder="1" applyProtection="1">
      <protection locked="0"/>
    </xf>
    <xf numFmtId="37" fontId="26" fillId="17" borderId="50" xfId="1" applyNumberFormat="1" applyFont="1" applyFill="1" applyBorder="1" applyAlignment="1" applyProtection="1">
      <alignment horizontal="right"/>
      <protection hidden="1"/>
    </xf>
    <xf numFmtId="37" fontId="26" fillId="17" borderId="50" xfId="0" applyNumberFormat="1" applyFont="1" applyFill="1" applyBorder="1" applyAlignment="1" applyProtection="1">
      <alignment horizontal="right"/>
      <protection hidden="1"/>
    </xf>
    <xf numFmtId="37" fontId="26" fillId="33" borderId="51" xfId="0" applyNumberFormat="1" applyFont="1" applyFill="1" applyBorder="1" applyAlignment="1" applyProtection="1">
      <alignment horizontal="right"/>
      <protection locked="0"/>
    </xf>
    <xf numFmtId="3" fontId="26" fillId="0" borderId="50" xfId="0" applyNumberFormat="1" applyFont="1" applyFill="1" applyBorder="1" applyAlignment="1" applyProtection="1">
      <alignment horizontal="right"/>
    </xf>
    <xf numFmtId="0" fontId="71" fillId="0" borderId="51" xfId="0" applyFont="1" applyFill="1" applyBorder="1" applyProtection="1"/>
    <xf numFmtId="3" fontId="26" fillId="13" borderId="50" xfId="0" applyNumberFormat="1" applyFont="1" applyFill="1" applyBorder="1" applyAlignment="1" applyProtection="1">
      <alignment horizontal="right"/>
      <protection locked="0"/>
    </xf>
    <xf numFmtId="0" fontId="0" fillId="13" borderId="51" xfId="0" applyFill="1" applyBorder="1" applyProtection="1">
      <protection locked="0"/>
    </xf>
    <xf numFmtId="4" fontId="26" fillId="13" borderId="49" xfId="0" applyNumberFormat="1" applyFont="1" applyFill="1" applyBorder="1" applyAlignment="1" applyProtection="1">
      <alignment horizontal="right"/>
      <protection hidden="1"/>
    </xf>
    <xf numFmtId="0" fontId="26" fillId="17" borderId="102" xfId="0" applyFont="1" applyFill="1" applyBorder="1" applyProtection="1">
      <protection hidden="1"/>
    </xf>
    <xf numFmtId="0" fontId="26" fillId="17" borderId="107" xfId="0" applyFont="1" applyFill="1" applyBorder="1" applyProtection="1">
      <protection hidden="1"/>
    </xf>
    <xf numFmtId="0" fontId="122" fillId="27" borderId="14" xfId="0" applyFont="1" applyFill="1" applyBorder="1" applyAlignment="1" applyProtection="1">
      <alignment horizontal="center"/>
      <protection hidden="1"/>
    </xf>
    <xf numFmtId="0" fontId="89" fillId="27" borderId="68" xfId="0" applyFont="1" applyFill="1" applyBorder="1" applyProtection="1">
      <protection hidden="1"/>
    </xf>
    <xf numFmtId="0" fontId="133" fillId="27" borderId="14" xfId="0" applyFont="1" applyFill="1" applyBorder="1" applyAlignment="1" applyProtection="1">
      <alignment horizontal="center"/>
      <protection hidden="1"/>
    </xf>
    <xf numFmtId="0" fontId="89" fillId="27" borderId="15" xfId="0" applyFont="1" applyFill="1" applyBorder="1" applyProtection="1">
      <protection hidden="1"/>
    </xf>
    <xf numFmtId="3" fontId="79" fillId="17" borderId="53" xfId="0" applyNumberFormat="1" applyFont="1" applyFill="1" applyBorder="1" applyAlignment="1" applyProtection="1">
      <alignment horizontal="right"/>
      <protection hidden="1"/>
    </xf>
    <xf numFmtId="3" fontId="79" fillId="17" borderId="54" xfId="0" applyNumberFormat="1" applyFont="1" applyFill="1" applyBorder="1" applyAlignment="1" applyProtection="1">
      <alignment horizontal="right"/>
      <protection hidden="1"/>
    </xf>
    <xf numFmtId="3" fontId="79" fillId="17" borderId="57" xfId="0" applyNumberFormat="1" applyFont="1" applyFill="1" applyBorder="1" applyAlignment="1" applyProtection="1">
      <alignment horizontal="right"/>
      <protection hidden="1"/>
    </xf>
    <xf numFmtId="3" fontId="79" fillId="17" borderId="58" xfId="0" applyNumberFormat="1" applyFont="1" applyFill="1" applyBorder="1" applyAlignment="1" applyProtection="1">
      <alignment horizontal="right"/>
      <protection hidden="1"/>
    </xf>
    <xf numFmtId="0" fontId="75" fillId="17" borderId="59" xfId="0" applyFont="1" applyFill="1" applyBorder="1" applyProtection="1">
      <protection hidden="1"/>
    </xf>
    <xf numFmtId="0" fontId="75" fillId="17" borderId="141" xfId="0" applyFont="1" applyFill="1" applyBorder="1" applyProtection="1">
      <protection hidden="1"/>
    </xf>
    <xf numFmtId="0" fontId="122" fillId="27" borderId="88" xfId="0" applyFont="1" applyFill="1" applyBorder="1" applyAlignment="1" applyProtection="1">
      <alignment horizontal="center"/>
      <protection hidden="1"/>
    </xf>
    <xf numFmtId="0" fontId="89" fillId="27" borderId="89" xfId="0" applyFont="1" applyFill="1" applyBorder="1" applyProtection="1">
      <protection hidden="1"/>
    </xf>
    <xf numFmtId="0" fontId="89" fillId="27" borderId="103" xfId="0" applyFont="1" applyFill="1" applyBorder="1" applyProtection="1">
      <protection hidden="1"/>
    </xf>
    <xf numFmtId="0" fontId="89" fillId="27" borderId="90" xfId="0" applyFont="1" applyFill="1" applyBorder="1" applyProtection="1">
      <protection hidden="1"/>
    </xf>
    <xf numFmtId="3" fontId="79" fillId="17" borderId="60" xfId="0" applyNumberFormat="1" applyFont="1" applyFill="1" applyBorder="1" applyAlignment="1" applyProtection="1">
      <alignment horizontal="right"/>
      <protection hidden="1"/>
    </xf>
    <xf numFmtId="0" fontId="122" fillId="27" borderId="74" xfId="0" applyFont="1" applyFill="1" applyBorder="1" applyAlignment="1" applyProtection="1">
      <alignment horizontal="center" vertical="center"/>
      <protection hidden="1"/>
    </xf>
    <xf numFmtId="0" fontId="122" fillId="27" borderId="75" xfId="0" applyFont="1" applyFill="1" applyBorder="1" applyAlignment="1" applyProtection="1">
      <alignment horizontal="center" vertical="center"/>
      <protection hidden="1"/>
    </xf>
    <xf numFmtId="0" fontId="122" fillId="27" borderId="37" xfId="0" applyFont="1" applyFill="1" applyBorder="1" applyAlignment="1" applyProtection="1">
      <alignment horizontal="center" vertical="center"/>
      <protection hidden="1"/>
    </xf>
    <xf numFmtId="0" fontId="122" fillId="27" borderId="73" xfId="0" applyFont="1" applyFill="1" applyBorder="1" applyAlignment="1" applyProtection="1">
      <alignment horizontal="center" vertical="center"/>
      <protection hidden="1"/>
    </xf>
    <xf numFmtId="0" fontId="122" fillId="27" borderId="8" xfId="0" applyFont="1" applyFill="1" applyBorder="1" applyAlignment="1" applyProtection="1">
      <alignment horizontal="center" vertical="center"/>
      <protection hidden="1"/>
    </xf>
    <xf numFmtId="0" fontId="122" fillId="27" borderId="9" xfId="0" applyFont="1" applyFill="1" applyBorder="1" applyAlignment="1" applyProtection="1">
      <alignment horizontal="center" vertical="center"/>
      <protection hidden="1"/>
    </xf>
    <xf numFmtId="3" fontId="49" fillId="17" borderId="53" xfId="0" applyNumberFormat="1" applyFont="1" applyFill="1" applyBorder="1" applyAlignment="1" applyProtection="1">
      <alignment horizontal="right"/>
      <protection hidden="1"/>
    </xf>
    <xf numFmtId="0" fontId="0" fillId="17" borderId="54" xfId="0" applyFill="1" applyBorder="1" applyProtection="1">
      <protection hidden="1"/>
    </xf>
    <xf numFmtId="3" fontId="49" fillId="17" borderId="80" xfId="0" applyNumberFormat="1" applyFont="1" applyFill="1" applyBorder="1" applyAlignment="1" applyProtection="1">
      <alignment horizontal="right"/>
      <protection hidden="1"/>
    </xf>
    <xf numFmtId="0" fontId="0" fillId="17" borderId="81" xfId="0" applyFill="1" applyBorder="1" applyProtection="1">
      <protection hidden="1"/>
    </xf>
    <xf numFmtId="3" fontId="49" fillId="17" borderId="99" xfId="0" applyNumberFormat="1" applyFont="1" applyFill="1" applyBorder="1" applyAlignment="1" applyProtection="1">
      <alignment horizontal="right"/>
      <protection hidden="1"/>
    </xf>
    <xf numFmtId="3" fontId="49" fillId="17" borderId="74" xfId="0" applyNumberFormat="1" applyFont="1" applyFill="1" applyBorder="1" applyAlignment="1" applyProtection="1">
      <alignment horizontal="right"/>
      <protection hidden="1"/>
    </xf>
    <xf numFmtId="0" fontId="0" fillId="17" borderId="38" xfId="0" applyFill="1" applyBorder="1" applyProtection="1">
      <protection hidden="1"/>
    </xf>
    <xf numFmtId="0" fontId="0" fillId="17" borderId="75" xfId="0" applyFill="1" applyBorder="1" applyProtection="1">
      <protection hidden="1"/>
    </xf>
    <xf numFmtId="0" fontId="0" fillId="17" borderId="84" xfId="0" applyFill="1" applyBorder="1" applyProtection="1">
      <protection hidden="1"/>
    </xf>
    <xf numFmtId="3" fontId="49" fillId="17" borderId="55" xfId="0" applyNumberFormat="1" applyFont="1" applyFill="1" applyBorder="1" applyAlignment="1" applyProtection="1">
      <alignment horizontal="right"/>
      <protection hidden="1"/>
    </xf>
    <xf numFmtId="3" fontId="32" fillId="33" borderId="48" xfId="0" applyNumberFormat="1" applyFont="1" applyFill="1" applyBorder="1" applyAlignment="1" applyProtection="1">
      <alignment horizontal="right"/>
      <protection locked="0"/>
    </xf>
    <xf numFmtId="0" fontId="71" fillId="33" borderId="49" xfId="0" applyFont="1" applyFill="1" applyBorder="1" applyProtection="1">
      <protection locked="0"/>
    </xf>
    <xf numFmtId="0" fontId="71" fillId="33" borderId="52" xfId="0" applyFont="1" applyFill="1" applyBorder="1" applyProtection="1">
      <protection locked="0"/>
    </xf>
    <xf numFmtId="3" fontId="32" fillId="33" borderId="50" xfId="0" applyNumberFormat="1" applyFont="1" applyFill="1" applyBorder="1" applyAlignment="1" applyProtection="1">
      <alignment horizontal="right"/>
      <protection locked="0"/>
    </xf>
    <xf numFmtId="3" fontId="49" fillId="17" borderId="48" xfId="0" applyNumberFormat="1" applyFont="1" applyFill="1" applyBorder="1" applyAlignment="1" applyProtection="1">
      <alignment horizontal="right"/>
      <protection hidden="1"/>
    </xf>
    <xf numFmtId="0" fontId="0" fillId="17" borderId="49" xfId="0" applyFill="1" applyBorder="1" applyProtection="1">
      <protection hidden="1"/>
    </xf>
    <xf numFmtId="37" fontId="49" fillId="17" borderId="48" xfId="0" applyNumberFormat="1" applyFont="1" applyFill="1" applyBorder="1" applyAlignment="1" applyProtection="1">
      <alignment horizontal="right"/>
      <protection hidden="1"/>
    </xf>
    <xf numFmtId="3" fontId="49" fillId="17" borderId="50" xfId="0" applyNumberFormat="1" applyFont="1" applyFill="1" applyBorder="1" applyAlignment="1" applyProtection="1">
      <alignment horizontal="right"/>
      <protection hidden="1"/>
    </xf>
    <xf numFmtId="0" fontId="27" fillId="33" borderId="48" xfId="0" applyFont="1" applyFill="1" applyBorder="1" applyAlignment="1" applyProtection="1">
      <alignment horizontal="left"/>
      <protection locked="0"/>
    </xf>
    <xf numFmtId="0" fontId="27" fillId="33" borderId="49" xfId="0" applyFont="1" applyFill="1" applyBorder="1" applyAlignment="1" applyProtection="1">
      <alignment horizontal="left"/>
      <protection locked="0"/>
    </xf>
    <xf numFmtId="0" fontId="27" fillId="33" borderId="51" xfId="0" applyFont="1" applyFill="1" applyBorder="1" applyAlignment="1" applyProtection="1">
      <alignment horizontal="left"/>
      <protection locked="0"/>
    </xf>
    <xf numFmtId="0" fontId="122" fillId="27" borderId="59" xfId="0" applyFont="1" applyFill="1" applyBorder="1" applyAlignment="1" applyProtection="1">
      <alignment horizontal="center" vertical="top" wrapText="1"/>
      <protection hidden="1"/>
    </xf>
    <xf numFmtId="3" fontId="27" fillId="33" borderId="88" xfId="0" applyNumberFormat="1" applyFont="1" applyFill="1" applyBorder="1" applyAlignment="1" applyProtection="1">
      <alignment horizontal="right"/>
      <protection locked="0"/>
    </xf>
    <xf numFmtId="0" fontId="71" fillId="33" borderId="90" xfId="0" applyFont="1" applyFill="1" applyBorder="1" applyProtection="1">
      <protection locked="0"/>
    </xf>
    <xf numFmtId="3" fontId="27" fillId="33" borderId="91" xfId="0" applyNumberFormat="1" applyFont="1" applyFill="1" applyBorder="1" applyAlignment="1" applyProtection="1">
      <alignment horizontal="right"/>
      <protection locked="0"/>
    </xf>
    <xf numFmtId="0" fontId="71" fillId="33" borderId="89" xfId="0" applyFont="1" applyFill="1" applyBorder="1" applyProtection="1">
      <protection locked="0"/>
    </xf>
    <xf numFmtId="0" fontId="37" fillId="17" borderId="91" xfId="0" applyFont="1" applyFill="1" applyBorder="1" applyProtection="1">
      <protection hidden="1"/>
    </xf>
    <xf numFmtId="0" fontId="37" fillId="17" borderId="89" xfId="0" applyFont="1" applyFill="1" applyBorder="1" applyProtection="1">
      <protection hidden="1"/>
    </xf>
    <xf numFmtId="0" fontId="37" fillId="17" borderId="103" xfId="0" applyFont="1" applyFill="1" applyBorder="1" applyProtection="1">
      <protection hidden="1"/>
    </xf>
    <xf numFmtId="0" fontId="54" fillId="18" borderId="0" xfId="0" applyFont="1" applyFill="1" applyBorder="1" applyAlignment="1" applyProtection="1">
      <alignment horizontal="center"/>
      <protection hidden="1"/>
    </xf>
    <xf numFmtId="3" fontId="32" fillId="17" borderId="50" xfId="0" applyNumberFormat="1" applyFont="1" applyFill="1" applyBorder="1" applyAlignment="1" applyProtection="1">
      <alignment horizontal="right"/>
      <protection hidden="1"/>
    </xf>
    <xf numFmtId="0" fontId="0" fillId="17" borderId="51" xfId="0" applyFont="1" applyFill="1" applyBorder="1" applyProtection="1">
      <protection hidden="1"/>
    </xf>
    <xf numFmtId="0" fontId="58" fillId="17" borderId="51" xfId="0" applyFont="1" applyFill="1" applyBorder="1" applyProtection="1">
      <protection hidden="1"/>
    </xf>
    <xf numFmtId="3" fontId="28" fillId="17" borderId="50" xfId="0" applyNumberFormat="1" applyFont="1" applyFill="1" applyBorder="1" applyAlignment="1" applyProtection="1">
      <alignment horizontal="right"/>
      <protection hidden="1"/>
    </xf>
    <xf numFmtId="3" fontId="26" fillId="17" borderId="49" xfId="0" applyNumberFormat="1" applyFont="1" applyFill="1" applyBorder="1" applyAlignment="1" applyProtection="1">
      <alignment horizontal="right"/>
      <protection hidden="1"/>
    </xf>
    <xf numFmtId="3" fontId="26" fillId="17" borderId="51" xfId="0" applyNumberFormat="1" applyFont="1" applyFill="1" applyBorder="1" applyAlignment="1" applyProtection="1">
      <alignment horizontal="right"/>
      <protection hidden="1"/>
    </xf>
    <xf numFmtId="3" fontId="26" fillId="33" borderId="49" xfId="0" applyNumberFormat="1" applyFont="1" applyFill="1" applyBorder="1" applyAlignment="1" applyProtection="1">
      <alignment horizontal="right"/>
      <protection locked="0"/>
    </xf>
    <xf numFmtId="3" fontId="26" fillId="33" borderId="51" xfId="0" applyNumberFormat="1" applyFont="1" applyFill="1" applyBorder="1" applyAlignment="1" applyProtection="1">
      <alignment horizontal="right"/>
      <protection locked="0"/>
    </xf>
    <xf numFmtId="37" fontId="31" fillId="17" borderId="55" xfId="0" applyNumberFormat="1" applyFont="1" applyFill="1" applyBorder="1" applyAlignment="1" applyProtection="1">
      <alignment horizontal="right" vertical="center"/>
      <protection hidden="1"/>
    </xf>
    <xf numFmtId="4" fontId="43" fillId="17" borderId="55" xfId="0" applyNumberFormat="1" applyFont="1" applyFill="1" applyBorder="1" applyAlignment="1" applyProtection="1">
      <alignment horizontal="right" vertical="center"/>
      <protection hidden="1"/>
    </xf>
    <xf numFmtId="37" fontId="45" fillId="17" borderId="50" xfId="0" applyNumberFormat="1" applyFont="1" applyFill="1" applyBorder="1" applyAlignment="1" applyProtection="1">
      <alignment horizontal="right"/>
      <protection hidden="1"/>
    </xf>
    <xf numFmtId="3" fontId="28" fillId="17" borderId="55" xfId="0" applyNumberFormat="1" applyFont="1" applyFill="1" applyBorder="1" applyAlignment="1" applyProtection="1">
      <alignment horizontal="right"/>
      <protection hidden="1"/>
    </xf>
    <xf numFmtId="3" fontId="43" fillId="17" borderId="55" xfId="0" applyNumberFormat="1" applyFont="1" applyFill="1" applyBorder="1" applyAlignment="1" applyProtection="1">
      <alignment horizontal="right" vertical="center"/>
      <protection hidden="1"/>
    </xf>
    <xf numFmtId="37" fontId="43" fillId="17" borderId="55" xfId="0" applyNumberFormat="1" applyFont="1" applyFill="1" applyBorder="1" applyAlignment="1" applyProtection="1">
      <alignment horizontal="right" vertical="center"/>
      <protection hidden="1"/>
    </xf>
    <xf numFmtId="0" fontId="58" fillId="17" borderId="56" xfId="0" applyFont="1" applyFill="1" applyBorder="1" applyAlignment="1" applyProtection="1">
      <alignment horizontal="right"/>
      <protection hidden="1"/>
    </xf>
    <xf numFmtId="3" fontId="43" fillId="17" borderId="53" xfId="0" applyNumberFormat="1" applyFont="1" applyFill="1" applyBorder="1" applyAlignment="1" applyProtection="1">
      <alignment horizontal="right" vertical="center"/>
      <protection hidden="1"/>
    </xf>
    <xf numFmtId="37" fontId="30" fillId="17" borderId="50" xfId="0" applyNumberFormat="1" applyFont="1" applyFill="1" applyBorder="1" applyAlignment="1" applyProtection="1">
      <alignment horizontal="right"/>
      <protection hidden="1"/>
    </xf>
    <xf numFmtId="3" fontId="26" fillId="17" borderId="48" xfId="0" applyNumberFormat="1" applyFont="1" applyFill="1" applyBorder="1" applyAlignment="1" applyProtection="1">
      <alignment horizontal="right"/>
      <protection hidden="1"/>
    </xf>
    <xf numFmtId="37" fontId="46" fillId="17" borderId="50" xfId="0" applyNumberFormat="1" applyFont="1" applyFill="1" applyBorder="1" applyAlignment="1" applyProtection="1">
      <alignment horizontal="right" vertical="center"/>
      <protection hidden="1"/>
    </xf>
    <xf numFmtId="4" fontId="42" fillId="17" borderId="50" xfId="0" applyNumberFormat="1" applyFont="1" applyFill="1" applyBorder="1" applyAlignment="1" applyProtection="1">
      <alignment horizontal="right" vertical="center"/>
      <protection hidden="1"/>
    </xf>
    <xf numFmtId="3" fontId="42" fillId="17" borderId="48" xfId="0" applyNumberFormat="1" applyFont="1" applyFill="1" applyBorder="1" applyAlignment="1" applyProtection="1">
      <alignment horizontal="right" vertical="center"/>
      <protection hidden="1"/>
    </xf>
    <xf numFmtId="3" fontId="42" fillId="17" borderId="50" xfId="0" applyNumberFormat="1" applyFont="1" applyFill="1" applyBorder="1" applyAlignment="1" applyProtection="1">
      <alignment horizontal="right" vertical="center"/>
      <protection hidden="1"/>
    </xf>
    <xf numFmtId="3" fontId="28" fillId="17" borderId="48" xfId="0" applyNumberFormat="1" applyFont="1" applyFill="1" applyBorder="1" applyAlignment="1" applyProtection="1">
      <alignment horizontal="right"/>
      <protection hidden="1"/>
    </xf>
    <xf numFmtId="0" fontId="28" fillId="17" borderId="14" xfId="0" applyFont="1" applyFill="1" applyBorder="1" applyAlignment="1" applyProtection="1">
      <alignment horizontal="center" vertical="center" wrapText="1"/>
      <protection hidden="1"/>
    </xf>
    <xf numFmtId="0" fontId="0" fillId="17" borderId="68" xfId="0" applyFill="1" applyBorder="1" applyProtection="1">
      <protection hidden="1"/>
    </xf>
    <xf numFmtId="3" fontId="28" fillId="17" borderId="95" xfId="0" applyNumberFormat="1" applyFont="1" applyFill="1" applyBorder="1" applyAlignment="1" applyProtection="1">
      <alignment horizontal="center"/>
      <protection hidden="1"/>
    </xf>
    <xf numFmtId="0" fontId="0" fillId="17" borderId="97" xfId="0" applyFill="1" applyBorder="1" applyProtection="1">
      <protection hidden="1"/>
    </xf>
    <xf numFmtId="0" fontId="132" fillId="27" borderId="63" xfId="0" applyFont="1" applyFill="1" applyBorder="1" applyAlignment="1" applyProtection="1">
      <alignment horizontal="center" vertical="center"/>
      <protection hidden="1"/>
    </xf>
    <xf numFmtId="0" fontId="89" fillId="27" borderId="16" xfId="0" applyFont="1" applyFill="1" applyBorder="1" applyProtection="1">
      <protection hidden="1"/>
    </xf>
    <xf numFmtId="0" fontId="132" fillId="27" borderId="14" xfId="0" applyFont="1" applyFill="1" applyBorder="1" applyAlignment="1" applyProtection="1">
      <alignment horizontal="center" vertical="center"/>
      <protection hidden="1"/>
    </xf>
    <xf numFmtId="0" fontId="132" fillId="27" borderId="16" xfId="0" applyFont="1" applyFill="1" applyBorder="1" applyAlignment="1" applyProtection="1">
      <alignment horizontal="center" vertical="center"/>
      <protection hidden="1"/>
    </xf>
    <xf numFmtId="0" fontId="132" fillId="27" borderId="15" xfId="0" applyFont="1" applyFill="1" applyBorder="1" applyAlignment="1" applyProtection="1">
      <alignment horizontal="center" vertical="center"/>
      <protection hidden="1"/>
    </xf>
    <xf numFmtId="0" fontId="132" fillId="27" borderId="14" xfId="0" applyFont="1" applyFill="1" applyBorder="1" applyAlignment="1" applyProtection="1">
      <alignment horizontal="center" vertical="center" wrapText="1"/>
      <protection hidden="1"/>
    </xf>
    <xf numFmtId="0" fontId="28" fillId="17" borderId="14" xfId="0" applyFont="1" applyFill="1" applyBorder="1" applyAlignment="1" applyProtection="1">
      <alignment horizontal="center"/>
      <protection hidden="1"/>
    </xf>
    <xf numFmtId="0" fontId="0" fillId="17" borderId="15" xfId="0" applyFill="1" applyBorder="1" applyProtection="1">
      <protection hidden="1"/>
    </xf>
    <xf numFmtId="0" fontId="28" fillId="17" borderId="63" xfId="0" applyFont="1" applyFill="1" applyBorder="1" applyAlignment="1" applyProtection="1">
      <alignment horizontal="center"/>
      <protection hidden="1"/>
    </xf>
    <xf numFmtId="0" fontId="0" fillId="17" borderId="16" xfId="0" applyFill="1" applyBorder="1" applyProtection="1">
      <protection hidden="1"/>
    </xf>
    <xf numFmtId="0" fontId="28" fillId="17" borderId="16" xfId="0" applyFont="1" applyFill="1" applyBorder="1" applyAlignment="1" applyProtection="1">
      <alignment horizontal="center"/>
      <protection hidden="1"/>
    </xf>
    <xf numFmtId="0" fontId="28" fillId="17" borderId="15" xfId="0" applyFont="1" applyFill="1" applyBorder="1" applyAlignment="1" applyProtection="1">
      <alignment horizontal="center"/>
      <protection hidden="1"/>
    </xf>
    <xf numFmtId="0" fontId="241" fillId="17" borderId="55" xfId="0" applyFont="1" applyFill="1" applyBorder="1" applyAlignment="1" applyProtection="1">
      <alignment horizontal="center"/>
      <protection hidden="1"/>
    </xf>
    <xf numFmtId="0" fontId="152" fillId="17" borderId="56" xfId="0" applyFont="1" applyFill="1" applyBorder="1" applyProtection="1">
      <protection hidden="1"/>
    </xf>
    <xf numFmtId="0" fontId="87" fillId="18" borderId="0" xfId="0" applyFont="1" applyFill="1" applyAlignment="1" applyProtection="1">
      <alignment horizontal="center"/>
      <protection hidden="1"/>
    </xf>
    <xf numFmtId="0" fontId="72" fillId="18" borderId="59" xfId="0" applyFont="1" applyFill="1" applyBorder="1" applyAlignment="1" applyProtection="1">
      <alignment horizontal="center"/>
      <protection hidden="1"/>
    </xf>
    <xf numFmtId="0" fontId="132" fillId="27" borderId="87" xfId="0" applyFont="1" applyFill="1" applyBorder="1" applyAlignment="1" applyProtection="1">
      <alignment horizontal="center" vertical="center"/>
      <protection hidden="1"/>
    </xf>
    <xf numFmtId="0" fontId="89" fillId="27" borderId="92" xfId="0" applyFont="1" applyFill="1" applyBorder="1" applyProtection="1">
      <protection hidden="1"/>
    </xf>
    <xf numFmtId="15" fontId="132" fillId="27" borderId="88" xfId="0" applyNumberFormat="1" applyFont="1" applyFill="1" applyBorder="1" applyAlignment="1" applyProtection="1">
      <alignment horizontal="center"/>
      <protection hidden="1"/>
    </xf>
    <xf numFmtId="15" fontId="132" fillId="27" borderId="91" xfId="0" applyNumberFormat="1" applyFont="1" applyFill="1" applyBorder="1" applyAlignment="1" applyProtection="1">
      <alignment horizontal="center"/>
      <protection hidden="1"/>
    </xf>
    <xf numFmtId="0" fontId="132" fillId="27" borderId="36" xfId="0" applyFont="1" applyFill="1" applyBorder="1" applyAlignment="1" applyProtection="1">
      <alignment horizontal="center" vertical="center"/>
      <protection hidden="1"/>
    </xf>
    <xf numFmtId="0" fontId="132" fillId="27" borderId="75" xfId="0" applyFont="1" applyFill="1" applyBorder="1" applyAlignment="1" applyProtection="1">
      <alignment horizontal="center" vertical="center"/>
      <protection hidden="1"/>
    </xf>
    <xf numFmtId="0" fontId="132" fillId="27" borderId="37" xfId="0" applyFont="1" applyFill="1" applyBorder="1" applyAlignment="1" applyProtection="1">
      <alignment horizontal="center" vertical="center"/>
      <protection hidden="1"/>
    </xf>
    <xf numFmtId="0" fontId="132" fillId="27" borderId="7" xfId="0" applyFont="1" applyFill="1" applyBorder="1" applyAlignment="1" applyProtection="1">
      <alignment horizontal="center" vertical="center"/>
      <protection hidden="1"/>
    </xf>
    <xf numFmtId="0" fontId="132" fillId="27" borderId="8" xfId="0" applyFont="1" applyFill="1" applyBorder="1" applyAlignment="1" applyProtection="1">
      <alignment horizontal="center" vertical="center"/>
      <protection hidden="1"/>
    </xf>
    <xf numFmtId="0" fontId="132" fillId="27" borderId="9" xfId="0" applyFont="1" applyFill="1" applyBorder="1" applyAlignment="1" applyProtection="1">
      <alignment horizontal="center" vertical="center"/>
      <protection hidden="1"/>
    </xf>
    <xf numFmtId="0" fontId="152" fillId="17" borderId="49" xfId="0" applyFont="1" applyFill="1" applyBorder="1" applyProtection="1">
      <protection hidden="1"/>
    </xf>
    <xf numFmtId="0" fontId="152" fillId="17" borderId="51" xfId="0" applyFont="1" applyFill="1" applyBorder="1" applyProtection="1">
      <protection hidden="1"/>
    </xf>
    <xf numFmtId="3" fontId="28" fillId="17" borderId="49" xfId="0" applyNumberFormat="1" applyFont="1" applyFill="1" applyBorder="1" applyAlignment="1" applyProtection="1">
      <alignment horizontal="right"/>
      <protection hidden="1"/>
    </xf>
    <xf numFmtId="3" fontId="28" fillId="17" borderId="51" xfId="0" applyNumberFormat="1" applyFont="1" applyFill="1" applyBorder="1" applyAlignment="1" applyProtection="1">
      <alignment horizontal="right"/>
      <protection hidden="1"/>
    </xf>
    <xf numFmtId="3" fontId="28" fillId="33" borderId="49" xfId="0" applyNumberFormat="1" applyFont="1" applyFill="1" applyBorder="1" applyAlignment="1" applyProtection="1">
      <alignment horizontal="right"/>
      <protection locked="0"/>
    </xf>
    <xf numFmtId="3" fontId="42" fillId="17" borderId="55" xfId="0" applyNumberFormat="1" applyFont="1" applyFill="1" applyBorder="1" applyAlignment="1" applyProtection="1">
      <alignment horizontal="right" vertical="center"/>
      <protection hidden="1"/>
    </xf>
    <xf numFmtId="37" fontId="42" fillId="17" borderId="55" xfId="0" applyNumberFormat="1" applyFont="1" applyFill="1" applyBorder="1" applyAlignment="1" applyProtection="1">
      <alignment horizontal="right" vertical="center"/>
      <protection hidden="1"/>
    </xf>
    <xf numFmtId="37" fontId="42" fillId="17" borderId="56" xfId="0" applyNumberFormat="1" applyFont="1" applyFill="1" applyBorder="1" applyAlignment="1" applyProtection="1">
      <alignment horizontal="right" vertical="center"/>
      <protection hidden="1"/>
    </xf>
    <xf numFmtId="3" fontId="42" fillId="17" borderId="53" xfId="0" applyNumberFormat="1" applyFont="1" applyFill="1" applyBorder="1" applyAlignment="1" applyProtection="1">
      <alignment horizontal="right" vertical="center"/>
      <protection hidden="1"/>
    </xf>
    <xf numFmtId="0" fontId="152" fillId="17" borderId="54" xfId="0" applyFont="1" applyFill="1" applyBorder="1" applyProtection="1">
      <protection hidden="1"/>
    </xf>
    <xf numFmtId="4" fontId="42" fillId="17" borderId="55" xfId="0" applyNumberFormat="1" applyFont="1" applyFill="1" applyBorder="1" applyAlignment="1" applyProtection="1">
      <alignment horizontal="right" vertical="center"/>
      <protection hidden="1"/>
    </xf>
    <xf numFmtId="0" fontId="152" fillId="17" borderId="57" xfId="0" applyFont="1" applyFill="1" applyBorder="1" applyProtection="1">
      <protection hidden="1"/>
    </xf>
    <xf numFmtId="3" fontId="28" fillId="33" borderId="48" xfId="0" applyNumberFormat="1" applyFont="1" applyFill="1" applyBorder="1" applyAlignment="1" applyProtection="1">
      <alignment horizontal="right"/>
      <protection locked="0"/>
    </xf>
    <xf numFmtId="37" fontId="42" fillId="17" borderId="50" xfId="0" applyNumberFormat="1" applyFont="1" applyFill="1" applyBorder="1" applyAlignment="1" applyProtection="1">
      <alignment horizontal="right" vertical="center"/>
      <protection hidden="1"/>
    </xf>
    <xf numFmtId="0" fontId="152" fillId="17" borderId="97" xfId="0" applyFont="1" applyFill="1" applyBorder="1" applyProtection="1">
      <protection hidden="1"/>
    </xf>
    <xf numFmtId="3" fontId="28" fillId="33" borderId="50" xfId="0" applyNumberFormat="1" applyFont="1" applyFill="1" applyBorder="1" applyAlignment="1" applyProtection="1">
      <alignment horizontal="right"/>
      <protection hidden="1"/>
    </xf>
    <xf numFmtId="0" fontId="28" fillId="33" borderId="51" xfId="0" applyFont="1" applyFill="1" applyBorder="1" applyProtection="1">
      <protection hidden="1"/>
    </xf>
    <xf numFmtId="3" fontId="234" fillId="17" borderId="69" xfId="0" applyNumberFormat="1" applyFont="1" applyFill="1" applyBorder="1" applyAlignment="1" applyProtection="1">
      <alignment horizontal="right" vertical="center" wrapText="1"/>
      <protection hidden="1"/>
    </xf>
    <xf numFmtId="3" fontId="234" fillId="17" borderId="71" xfId="0" applyNumberFormat="1" applyFont="1" applyFill="1" applyBorder="1" applyAlignment="1" applyProtection="1">
      <alignment horizontal="right" vertical="center" wrapText="1"/>
      <protection hidden="1"/>
    </xf>
    <xf numFmtId="0" fontId="234" fillId="17" borderId="29" xfId="0" applyFont="1" applyFill="1" applyBorder="1" applyAlignment="1" applyProtection="1">
      <alignment vertical="center"/>
      <protection hidden="1"/>
    </xf>
    <xf numFmtId="0" fontId="234" fillId="17" borderId="32" xfId="0" applyFont="1" applyFill="1" applyBorder="1" applyAlignment="1" applyProtection="1">
      <alignment vertical="center"/>
      <protection hidden="1"/>
    </xf>
    <xf numFmtId="0" fontId="236" fillId="33" borderId="71" xfId="0" applyFont="1" applyFill="1" applyBorder="1" applyAlignment="1" applyProtection="1">
      <alignment horizontal="center"/>
      <protection locked="0"/>
    </xf>
    <xf numFmtId="3" fontId="240" fillId="33" borderId="14" xfId="0" applyNumberFormat="1" applyFont="1" applyFill="1" applyBorder="1" applyAlignment="1" applyProtection="1">
      <alignment horizontal="right"/>
      <protection locked="0"/>
    </xf>
    <xf numFmtId="0" fontId="238" fillId="33" borderId="16" xfId="0" applyFont="1" applyFill="1" applyBorder="1" applyProtection="1">
      <protection locked="0"/>
    </xf>
    <xf numFmtId="0" fontId="238" fillId="33" borderId="15" xfId="0" applyFont="1" applyFill="1" applyBorder="1" applyProtection="1">
      <protection locked="0"/>
    </xf>
    <xf numFmtId="3" fontId="240" fillId="33" borderId="14" xfId="0" applyNumberFormat="1" applyFont="1" applyFill="1" applyBorder="1" applyAlignment="1" applyProtection="1">
      <alignment horizontal="right" wrapText="1"/>
      <protection locked="0"/>
    </xf>
    <xf numFmtId="3" fontId="240" fillId="33" borderId="15" xfId="0" applyNumberFormat="1" applyFont="1" applyFill="1" applyBorder="1" applyAlignment="1" applyProtection="1">
      <alignment horizontal="right" wrapText="1"/>
      <protection locked="0"/>
    </xf>
    <xf numFmtId="3" fontId="240" fillId="33" borderId="16" xfId="0" applyNumberFormat="1" applyFont="1" applyFill="1" applyBorder="1" applyAlignment="1" applyProtection="1">
      <alignment horizontal="right"/>
      <protection locked="0"/>
    </xf>
    <xf numFmtId="3" fontId="240" fillId="33" borderId="15" xfId="0" applyNumberFormat="1" applyFont="1" applyFill="1" applyBorder="1" applyAlignment="1" applyProtection="1">
      <alignment horizontal="right"/>
      <protection locked="0"/>
    </xf>
    <xf numFmtId="3" fontId="236" fillId="33" borderId="14" xfId="0" applyNumberFormat="1" applyFont="1" applyFill="1" applyBorder="1" applyAlignment="1" applyProtection="1">
      <alignment horizontal="right"/>
      <protection locked="0"/>
    </xf>
    <xf numFmtId="0" fontId="236" fillId="33" borderId="16" xfId="0" applyFont="1" applyFill="1" applyBorder="1" applyProtection="1">
      <protection locked="0"/>
    </xf>
    <xf numFmtId="3" fontId="236" fillId="33" borderId="16" xfId="0" applyNumberFormat="1" applyFont="1" applyFill="1" applyBorder="1" applyAlignment="1" applyProtection="1">
      <alignment horizontal="right"/>
      <protection locked="0"/>
    </xf>
    <xf numFmtId="3" fontId="236" fillId="33" borderId="15" xfId="0" applyNumberFormat="1" applyFont="1" applyFill="1" applyBorder="1" applyAlignment="1" applyProtection="1">
      <alignment horizontal="right"/>
      <protection locked="0"/>
    </xf>
    <xf numFmtId="3" fontId="172" fillId="33" borderId="14" xfId="0" applyNumberFormat="1" applyFont="1" applyFill="1" applyBorder="1" applyAlignment="1" applyProtection="1">
      <alignment horizontal="right"/>
      <protection locked="0"/>
    </xf>
    <xf numFmtId="0" fontId="172" fillId="33" borderId="16" xfId="0" applyFont="1" applyFill="1" applyBorder="1" applyProtection="1">
      <protection locked="0"/>
    </xf>
    <xf numFmtId="0" fontId="172" fillId="33" borderId="15" xfId="0" applyFont="1" applyFill="1" applyBorder="1" applyProtection="1">
      <protection locked="0"/>
    </xf>
    <xf numFmtId="0" fontId="95" fillId="27" borderId="74" xfId="0" applyFont="1" applyFill="1" applyBorder="1" applyAlignment="1" applyProtection="1">
      <alignment horizontal="center" vertical="center" wrapText="1"/>
      <protection hidden="1"/>
    </xf>
    <xf numFmtId="0" fontId="95" fillId="27" borderId="75" xfId="0" applyFont="1" applyFill="1" applyBorder="1" applyAlignment="1" applyProtection="1">
      <alignment horizontal="center" vertical="center" wrapText="1"/>
      <protection hidden="1"/>
    </xf>
    <xf numFmtId="0" fontId="95" fillId="27" borderId="38" xfId="0" applyFont="1" applyFill="1" applyBorder="1" applyAlignment="1" applyProtection="1">
      <alignment horizontal="center" vertical="center" wrapText="1"/>
      <protection hidden="1"/>
    </xf>
    <xf numFmtId="0" fontId="95" fillId="27" borderId="73" xfId="0" applyFont="1" applyFill="1" applyBorder="1" applyAlignment="1" applyProtection="1">
      <alignment horizontal="center" vertical="center" wrapText="1"/>
      <protection hidden="1"/>
    </xf>
    <xf numFmtId="0" fontId="95" fillId="27" borderId="8" xfId="0" applyFont="1" applyFill="1" applyBorder="1" applyAlignment="1" applyProtection="1">
      <alignment horizontal="center" vertical="center" wrapText="1"/>
      <protection hidden="1"/>
    </xf>
    <xf numFmtId="0" fontId="95" fillId="27" borderId="78" xfId="0" applyFont="1" applyFill="1" applyBorder="1" applyAlignment="1" applyProtection="1">
      <alignment horizontal="center" vertical="center" wrapText="1"/>
      <protection hidden="1"/>
    </xf>
    <xf numFmtId="0" fontId="199" fillId="17" borderId="65" xfId="0" applyFont="1" applyFill="1" applyBorder="1" applyAlignment="1" applyProtection="1">
      <alignment horizontal="center"/>
      <protection hidden="1"/>
    </xf>
    <xf numFmtId="0" fontId="172" fillId="17" borderId="6" xfId="0" applyFont="1" applyFill="1" applyBorder="1" applyProtection="1">
      <protection hidden="1"/>
    </xf>
    <xf numFmtId="0" fontId="199" fillId="33" borderId="72" xfId="0" applyFont="1" applyFill="1" applyBorder="1" applyAlignment="1" applyProtection="1">
      <alignment horizontal="center"/>
      <protection locked="0"/>
    </xf>
    <xf numFmtId="0" fontId="172" fillId="33" borderId="71" xfId="0" applyFont="1" applyFill="1" applyBorder="1" applyProtection="1">
      <protection locked="0"/>
    </xf>
    <xf numFmtId="0" fontId="199" fillId="33" borderId="63" xfId="0" applyFont="1" applyFill="1" applyBorder="1" applyAlignment="1" applyProtection="1">
      <alignment horizontal="center"/>
      <protection locked="0"/>
    </xf>
    <xf numFmtId="165" fontId="199" fillId="33" borderId="14" xfId="1" applyFont="1" applyFill="1" applyBorder="1" applyAlignment="1" applyProtection="1">
      <alignment horizontal="right"/>
      <protection locked="0"/>
    </xf>
    <xf numFmtId="165" fontId="199" fillId="33" borderId="16" xfId="1" applyFont="1" applyFill="1" applyBorder="1" applyProtection="1">
      <protection locked="0"/>
    </xf>
    <xf numFmtId="165" fontId="199" fillId="33" borderId="15" xfId="1" applyFont="1" applyFill="1" applyBorder="1" applyProtection="1">
      <protection locked="0"/>
    </xf>
    <xf numFmtId="165" fontId="199" fillId="33" borderId="16" xfId="1" applyFont="1" applyFill="1" applyBorder="1" applyAlignment="1" applyProtection="1">
      <alignment horizontal="right"/>
      <protection locked="0"/>
    </xf>
    <xf numFmtId="165" fontId="199" fillId="33" borderId="15" xfId="1" applyFont="1" applyFill="1" applyBorder="1" applyAlignment="1" applyProtection="1">
      <alignment horizontal="right"/>
      <protection locked="0"/>
    </xf>
    <xf numFmtId="3" fontId="234" fillId="0" borderId="69" xfId="0" applyNumberFormat="1" applyFont="1" applyFill="1" applyBorder="1" applyAlignment="1" applyProtection="1">
      <alignment horizontal="right"/>
      <protection hidden="1"/>
    </xf>
    <xf numFmtId="3" fontId="234" fillId="0" borderId="70" xfId="0" applyNumberFormat="1" applyFont="1" applyFill="1" applyBorder="1" applyAlignment="1" applyProtection="1">
      <alignment horizontal="right"/>
      <protection hidden="1"/>
    </xf>
    <xf numFmtId="3" fontId="234" fillId="0" borderId="71" xfId="0" applyNumberFormat="1" applyFont="1" applyFill="1" applyBorder="1" applyAlignment="1" applyProtection="1">
      <alignment horizontal="right"/>
      <protection hidden="1"/>
    </xf>
    <xf numFmtId="0" fontId="234" fillId="17" borderId="58" xfId="0" applyFont="1" applyFill="1" applyBorder="1" applyAlignment="1" applyProtection="1">
      <alignment horizontal="center" vertical="center"/>
      <protection hidden="1"/>
    </xf>
    <xf numFmtId="0" fontId="234" fillId="17" borderId="61" xfId="0" applyFont="1" applyFill="1" applyBorder="1" applyAlignment="1" applyProtection="1">
      <alignment horizontal="center" vertical="center"/>
      <protection hidden="1"/>
    </xf>
    <xf numFmtId="0" fontId="172" fillId="33" borderId="63" xfId="0" applyFont="1" applyFill="1" applyBorder="1" applyAlignment="1">
      <alignment horizontal="center"/>
    </xf>
    <xf numFmtId="0" fontId="172" fillId="33" borderId="15" xfId="0" applyFont="1" applyFill="1" applyBorder="1" applyAlignment="1">
      <alignment horizontal="center"/>
    </xf>
    <xf numFmtId="0" fontId="172" fillId="0" borderId="63" xfId="0" applyFont="1" applyBorder="1" applyAlignment="1">
      <alignment horizontal="center"/>
    </xf>
    <xf numFmtId="0" fontId="172" fillId="0" borderId="15" xfId="0" applyFont="1" applyBorder="1" applyAlignment="1">
      <alignment horizontal="center"/>
    </xf>
    <xf numFmtId="0" fontId="26" fillId="17" borderId="111" xfId="0" applyFont="1" applyFill="1" applyBorder="1" applyAlignment="1" applyProtection="1">
      <alignment horizontal="left" vertical="top"/>
      <protection hidden="1"/>
    </xf>
    <xf numFmtId="0" fontId="26" fillId="17" borderId="109" xfId="0" applyFont="1" applyFill="1" applyBorder="1" applyAlignment="1" applyProtection="1">
      <alignment horizontal="left" vertical="top"/>
      <protection hidden="1"/>
    </xf>
    <xf numFmtId="0" fontId="237" fillId="33" borderId="72" xfId="0" applyFont="1" applyFill="1" applyBorder="1" applyAlignment="1" applyProtection="1">
      <alignment horizontal="center"/>
      <protection locked="0"/>
    </xf>
    <xf numFmtId="0" fontId="238" fillId="33" borderId="71" xfId="0" applyFont="1" applyFill="1" applyBorder="1" applyProtection="1">
      <protection locked="0"/>
    </xf>
    <xf numFmtId="0" fontId="36" fillId="17" borderId="63" xfId="0" applyFont="1" applyFill="1" applyBorder="1" applyAlignment="1" applyProtection="1">
      <alignment horizontal="center" vertical="center"/>
      <protection hidden="1"/>
    </xf>
    <xf numFmtId="0" fontId="36" fillId="17" borderId="14" xfId="0" applyFont="1" applyFill="1" applyBorder="1" applyAlignment="1" applyProtection="1">
      <alignment horizontal="center" vertical="center"/>
      <protection hidden="1"/>
    </xf>
    <xf numFmtId="0" fontId="36" fillId="17" borderId="16" xfId="0" applyFont="1" applyFill="1" applyBorder="1" applyAlignment="1" applyProtection="1">
      <alignment horizontal="center" vertical="center"/>
      <protection hidden="1"/>
    </xf>
    <xf numFmtId="0" fontId="36" fillId="17" borderId="15" xfId="0" applyFont="1" applyFill="1" applyBorder="1" applyAlignment="1" applyProtection="1">
      <alignment horizontal="center" vertical="center"/>
      <protection hidden="1"/>
    </xf>
    <xf numFmtId="0" fontId="237" fillId="33" borderId="63" xfId="0" applyFont="1" applyFill="1" applyBorder="1" applyAlignment="1" applyProtection="1">
      <alignment horizontal="center"/>
      <protection locked="0"/>
    </xf>
    <xf numFmtId="0" fontId="26" fillId="17" borderId="110" xfId="0" applyFont="1" applyFill="1" applyBorder="1" applyAlignment="1" applyProtection="1">
      <alignment horizontal="left" vertical="top"/>
      <protection hidden="1"/>
    </xf>
    <xf numFmtId="3" fontId="239" fillId="17" borderId="69" xfId="0" applyNumberFormat="1" applyFont="1" applyFill="1" applyBorder="1" applyAlignment="1" applyProtection="1">
      <alignment horizontal="right"/>
      <protection hidden="1"/>
    </xf>
    <xf numFmtId="3" fontId="239" fillId="17" borderId="70" xfId="0" applyNumberFormat="1" applyFont="1" applyFill="1" applyBorder="1" applyAlignment="1" applyProtection="1">
      <alignment horizontal="right"/>
      <protection hidden="1"/>
    </xf>
    <xf numFmtId="3" fontId="239" fillId="17" borderId="71" xfId="0" applyNumberFormat="1" applyFont="1" applyFill="1" applyBorder="1" applyAlignment="1" applyProtection="1">
      <alignment horizontal="right"/>
      <protection hidden="1"/>
    </xf>
    <xf numFmtId="3" fontId="235" fillId="17" borderId="69" xfId="0" applyNumberFormat="1" applyFont="1" applyFill="1" applyBorder="1" applyAlignment="1" applyProtection="1">
      <alignment horizontal="right" wrapText="1"/>
      <protection hidden="1"/>
    </xf>
    <xf numFmtId="3" fontId="235" fillId="17" borderId="71" xfId="0" applyNumberFormat="1" applyFont="1" applyFill="1" applyBorder="1" applyAlignment="1" applyProtection="1">
      <alignment horizontal="right" wrapText="1"/>
      <protection hidden="1"/>
    </xf>
    <xf numFmtId="0" fontId="27" fillId="17" borderId="53" xfId="0" applyFont="1" applyFill="1" applyBorder="1" applyAlignment="1" applyProtection="1">
      <protection hidden="1"/>
    </xf>
    <xf numFmtId="0" fontId="27" fillId="17" borderId="54" xfId="0" applyFont="1" applyFill="1" applyBorder="1" applyAlignment="1" applyProtection="1">
      <protection hidden="1"/>
    </xf>
    <xf numFmtId="0" fontId="27" fillId="17" borderId="56" xfId="0" applyFont="1" applyFill="1" applyBorder="1" applyAlignment="1" applyProtection="1">
      <protection hidden="1"/>
    </xf>
    <xf numFmtId="3" fontId="32" fillId="0" borderId="55" xfId="1" applyNumberFormat="1" applyFont="1" applyFill="1" applyBorder="1" applyAlignment="1" applyProtection="1">
      <alignment horizontal="right"/>
      <protection hidden="1"/>
    </xf>
    <xf numFmtId="3" fontId="32" fillId="0" borderId="56" xfId="1" applyNumberFormat="1" applyFont="1" applyFill="1" applyBorder="1" applyAlignment="1" applyProtection="1">
      <alignment horizontal="right"/>
      <protection hidden="1"/>
    </xf>
    <xf numFmtId="0" fontId="26" fillId="17" borderId="0" xfId="0" applyFont="1" applyFill="1" applyAlignment="1" applyProtection="1">
      <alignment horizontal="right" vertical="center"/>
    </xf>
    <xf numFmtId="0" fontId="69" fillId="18" borderId="0" xfId="0" applyFont="1" applyFill="1" applyAlignment="1" applyProtection="1">
      <alignment horizontal="center" vertical="top" wrapText="1" shrinkToFit="1"/>
      <protection hidden="1"/>
    </xf>
    <xf numFmtId="0" fontId="26" fillId="17" borderId="0" xfId="0" applyFont="1" applyFill="1" applyAlignment="1" applyProtection="1">
      <alignment vertical="center"/>
    </xf>
    <xf numFmtId="3" fontId="199" fillId="39" borderId="14" xfId="0" applyNumberFormat="1" applyFont="1" applyFill="1" applyBorder="1" applyAlignment="1" applyProtection="1">
      <alignment horizontal="center"/>
      <protection locked="0"/>
    </xf>
    <xf numFmtId="3" fontId="199" fillId="39" borderId="15" xfId="0" applyNumberFormat="1" applyFont="1" applyFill="1" applyBorder="1" applyAlignment="1" applyProtection="1">
      <alignment horizontal="center"/>
      <protection locked="0"/>
    </xf>
    <xf numFmtId="0" fontId="26" fillId="17" borderId="0" xfId="0" applyFont="1" applyFill="1" applyAlignment="1" applyProtection="1">
      <alignment horizontal="right" vertical="center" wrapText="1" shrinkToFit="1"/>
    </xf>
    <xf numFmtId="0" fontId="139" fillId="9" borderId="0" xfId="0" applyNumberFormat="1" applyFont="1" applyFill="1" applyAlignment="1" applyProtection="1">
      <alignment horizontal="left" vertical="top" wrapText="1"/>
      <protection locked="0"/>
    </xf>
    <xf numFmtId="0" fontId="138" fillId="9" borderId="0" xfId="0" applyFont="1" applyFill="1" applyAlignment="1">
      <alignment horizontal="left" vertical="center" wrapText="1"/>
    </xf>
    <xf numFmtId="0" fontId="88" fillId="9" borderId="0" xfId="0" applyFont="1" applyFill="1" applyAlignment="1">
      <alignment horizontal="left" vertical="center" wrapText="1"/>
    </xf>
    <xf numFmtId="0" fontId="0" fillId="0" borderId="0" xfId="0" applyAlignment="1">
      <alignment horizontal="left" wrapText="1"/>
    </xf>
    <xf numFmtId="0" fontId="159" fillId="17" borderId="0" xfId="0" applyFont="1" applyFill="1" applyAlignment="1">
      <alignment horizontal="justify" vertical="top" wrapText="1"/>
    </xf>
    <xf numFmtId="0" fontId="254" fillId="17" borderId="8" xfId="0" applyNumberFormat="1" applyFont="1" applyFill="1" applyBorder="1"/>
    <xf numFmtId="0" fontId="111" fillId="15" borderId="0" xfId="0" applyFont="1" applyFill="1" applyAlignment="1">
      <alignment horizontal="center" vertical="center"/>
    </xf>
    <xf numFmtId="0" fontId="252" fillId="17" borderId="8" xfId="0" applyNumberFormat="1" applyFont="1" applyFill="1" applyBorder="1" applyAlignment="1">
      <alignment vertical="center"/>
    </xf>
    <xf numFmtId="0" fontId="0" fillId="0" borderId="0" xfId="0" applyAlignment="1">
      <alignment horizontal="right"/>
    </xf>
    <xf numFmtId="0" fontId="249" fillId="20" borderId="0" xfId="0" applyFont="1" applyFill="1" applyAlignment="1">
      <alignment horizontal="right" vertical="center"/>
    </xf>
    <xf numFmtId="0" fontId="253" fillId="17" borderId="8" xfId="0" applyNumberFormat="1" applyFont="1" applyFill="1" applyBorder="1"/>
    <xf numFmtId="0" fontId="0" fillId="0" borderId="0" xfId="0" applyAlignment="1">
      <alignment horizontal="justify" vertical="top" wrapText="1"/>
    </xf>
    <xf numFmtId="0" fontId="153" fillId="17" borderId="0" xfId="0" applyFont="1" applyFill="1"/>
    <xf numFmtId="0" fontId="155" fillId="17" borderId="0" xfId="0" applyFont="1" applyFill="1" applyAlignment="1">
      <alignment horizontal="center"/>
    </xf>
    <xf numFmtId="0" fontId="155" fillId="17" borderId="0" xfId="0" applyFont="1" applyFill="1" applyAlignment="1">
      <alignment horizontal="center" vertical="center" wrapText="1"/>
    </xf>
    <xf numFmtId="0" fontId="227" fillId="17" borderId="0" xfId="0" applyFont="1" applyFill="1" applyAlignment="1">
      <alignment horizontal="center" wrapText="1"/>
    </xf>
    <xf numFmtId="0" fontId="227" fillId="17" borderId="0" xfId="0" applyFont="1" applyFill="1" applyAlignment="1">
      <alignment horizontal="center"/>
    </xf>
    <xf numFmtId="0" fontId="253" fillId="17" borderId="8" xfId="0" applyNumberFormat="1" applyFont="1" applyFill="1" applyBorder="1" applyAlignment="1">
      <alignment horizontal="left"/>
    </xf>
    <xf numFmtId="0" fontId="153" fillId="0" borderId="0" xfId="0" applyFont="1" applyFill="1" applyBorder="1" applyAlignment="1">
      <alignment horizontal="justify" vertical="top" wrapText="1"/>
    </xf>
    <xf numFmtId="0" fontId="111" fillId="15" borderId="0" xfId="0" applyFont="1" applyFill="1" applyAlignment="1">
      <alignment horizontal="right" vertical="center"/>
    </xf>
    <xf numFmtId="0" fontId="153" fillId="0" borderId="0" xfId="0" applyFont="1" applyFill="1" applyBorder="1" applyAlignment="1">
      <alignment wrapText="1"/>
    </xf>
    <xf numFmtId="0" fontId="158" fillId="0" borderId="0" xfId="0" applyFont="1" applyFill="1" applyBorder="1" applyAlignment="1">
      <alignment wrapText="1"/>
    </xf>
    <xf numFmtId="0" fontId="159" fillId="0" borderId="0" xfId="0" applyFont="1" applyFill="1" applyBorder="1" applyAlignment="1">
      <alignment wrapText="1"/>
    </xf>
    <xf numFmtId="0" fontId="253" fillId="0" borderId="0" xfId="0" applyNumberFormat="1" applyFont="1" applyFill="1" applyBorder="1" applyAlignment="1">
      <alignment horizontal="left"/>
    </xf>
    <xf numFmtId="0" fontId="15" fillId="37" borderId="82" xfId="0" applyFont="1" applyFill="1" applyBorder="1" applyAlignment="1">
      <alignment vertical="center" wrapText="1"/>
    </xf>
    <xf numFmtId="0" fontId="15" fillId="37" borderId="0" xfId="0" applyFont="1" applyFill="1" applyBorder="1" applyAlignment="1">
      <alignment vertical="center" wrapText="1"/>
    </xf>
    <xf numFmtId="0" fontId="15" fillId="37" borderId="13" xfId="0" applyFont="1" applyFill="1" applyBorder="1" applyAlignment="1">
      <alignment vertical="center" wrapText="1"/>
    </xf>
    <xf numFmtId="0" fontId="160" fillId="17" borderId="0" xfId="0" applyFont="1" applyFill="1" applyAlignment="1">
      <alignment horizontal="center" vertical="center" wrapText="1"/>
    </xf>
    <xf numFmtId="0" fontId="165" fillId="29" borderId="176" xfId="0" applyFont="1" applyFill="1" applyBorder="1" applyAlignment="1">
      <alignment horizontal="center" vertical="center" wrapText="1"/>
    </xf>
    <xf numFmtId="0" fontId="165" fillId="29" borderId="173" xfId="0" applyFont="1" applyFill="1" applyBorder="1" applyAlignment="1">
      <alignment horizontal="center" vertical="center" wrapText="1"/>
    </xf>
    <xf numFmtId="0" fontId="165" fillId="29" borderId="178" xfId="0" applyFont="1" applyFill="1" applyBorder="1" applyAlignment="1">
      <alignment horizontal="center" vertical="center" wrapText="1"/>
    </xf>
    <xf numFmtId="0" fontId="165" fillId="29" borderId="175" xfId="0" applyFont="1" applyFill="1" applyBorder="1" applyAlignment="1">
      <alignment horizontal="center" vertical="center" wrapText="1"/>
    </xf>
    <xf numFmtId="0" fontId="164" fillId="29" borderId="164" xfId="0" applyFont="1" applyFill="1" applyBorder="1" applyAlignment="1">
      <alignment horizontal="center" vertical="center" wrapText="1"/>
    </xf>
    <xf numFmtId="0" fontId="164" fillId="29" borderId="165" xfId="0" applyFont="1" applyFill="1" applyBorder="1" applyAlignment="1">
      <alignment horizontal="center" vertical="center" wrapText="1"/>
    </xf>
    <xf numFmtId="0" fontId="15" fillId="37" borderId="189" xfId="0" applyFont="1" applyFill="1" applyBorder="1" applyAlignment="1">
      <alignment vertical="center" wrapText="1"/>
    </xf>
    <xf numFmtId="0" fontId="15" fillId="37" borderId="173" xfId="0" applyFont="1" applyFill="1" applyBorder="1" applyAlignment="1">
      <alignment vertical="center" wrapText="1"/>
    </xf>
    <xf numFmtId="0" fontId="15" fillId="37" borderId="190" xfId="0" applyFont="1" applyFill="1" applyBorder="1" applyAlignment="1">
      <alignment vertical="center" wrapText="1"/>
    </xf>
    <xf numFmtId="0" fontId="161" fillId="17" borderId="0" xfId="0" applyFont="1" applyFill="1" applyAlignment="1">
      <alignment horizontal="center" vertical="center" wrapText="1"/>
    </xf>
    <xf numFmtId="0" fontId="164" fillId="29" borderId="183" xfId="0" applyFont="1" applyFill="1" applyBorder="1" applyAlignment="1">
      <alignment horizontal="center" vertical="center" wrapText="1"/>
    </xf>
    <xf numFmtId="0" fontId="164" fillId="29" borderId="192" xfId="0" applyFont="1" applyFill="1" applyBorder="1" applyAlignment="1">
      <alignment horizontal="center" vertical="center" wrapText="1"/>
    </xf>
    <xf numFmtId="15" fontId="165" fillId="29" borderId="191" xfId="0" applyNumberFormat="1" applyFont="1" applyFill="1" applyBorder="1" applyAlignment="1">
      <alignment horizontal="center" vertical="center" wrapText="1"/>
    </xf>
    <xf numFmtId="15" fontId="165" fillId="29" borderId="174" xfId="0" applyNumberFormat="1" applyFont="1" applyFill="1" applyBorder="1" applyAlignment="1">
      <alignment horizontal="center" vertical="center" wrapText="1"/>
    </xf>
    <xf numFmtId="0" fontId="104" fillId="17" borderId="8" xfId="0" applyNumberFormat="1" applyFont="1" applyFill="1" applyBorder="1"/>
    <xf numFmtId="0" fontId="167" fillId="17" borderId="0" xfId="0" applyFont="1" applyFill="1" applyAlignment="1">
      <alignment horizontal="center" vertical="center" wrapText="1"/>
    </xf>
    <xf numFmtId="0" fontId="169" fillId="17" borderId="0" xfId="0" applyFont="1" applyFill="1" applyAlignment="1">
      <alignment horizontal="center" vertical="center"/>
    </xf>
    <xf numFmtId="0" fontId="167" fillId="17" borderId="0" xfId="0" applyFont="1" applyFill="1" applyAlignment="1">
      <alignment horizontal="center" vertical="center"/>
    </xf>
    <xf numFmtId="0" fontId="97" fillId="29" borderId="3" xfId="0" applyFont="1" applyFill="1" applyBorder="1" applyAlignment="1">
      <alignment horizontal="center" vertical="center"/>
    </xf>
    <xf numFmtId="0" fontId="36" fillId="37" borderId="0" xfId="0" applyFont="1" applyFill="1" applyBorder="1" applyAlignment="1">
      <alignment horizontal="left" vertical="center"/>
    </xf>
    <xf numFmtId="0" fontId="36" fillId="37" borderId="13" xfId="0" applyFont="1" applyFill="1" applyBorder="1" applyAlignment="1">
      <alignment horizontal="left" vertical="center"/>
    </xf>
    <xf numFmtId="0" fontId="37" fillId="37" borderId="0" xfId="0" applyFont="1" applyFill="1" applyBorder="1" applyAlignment="1">
      <alignment horizontal="left" vertical="center"/>
    </xf>
    <xf numFmtId="0" fontId="37" fillId="37" borderId="13" xfId="0" applyFont="1" applyFill="1" applyBorder="1" applyAlignment="1">
      <alignment horizontal="left" vertical="center"/>
    </xf>
    <xf numFmtId="0" fontId="37" fillId="37" borderId="60" xfId="0" applyFont="1" applyFill="1" applyBorder="1" applyAlignment="1">
      <alignment horizontal="left" vertical="center"/>
    </xf>
    <xf numFmtId="0" fontId="37" fillId="37" borderId="59" xfId="0" applyFont="1" applyFill="1" applyBorder="1" applyAlignment="1">
      <alignment horizontal="left" vertical="center"/>
    </xf>
    <xf numFmtId="0" fontId="37" fillId="37" borderId="61" xfId="0" applyFont="1" applyFill="1" applyBorder="1" applyAlignment="1">
      <alignment horizontal="left" vertical="center"/>
    </xf>
    <xf numFmtId="0" fontId="37" fillId="37" borderId="82" xfId="0" applyFont="1" applyFill="1" applyBorder="1" applyAlignment="1">
      <alignment horizontal="left" vertical="center"/>
    </xf>
    <xf numFmtId="0" fontId="37" fillId="37" borderId="7" xfId="0" applyFont="1" applyFill="1" applyBorder="1" applyAlignment="1">
      <alignment horizontal="left" vertical="center"/>
    </xf>
    <xf numFmtId="0" fontId="37" fillId="37" borderId="8" xfId="0" applyFont="1" applyFill="1" applyBorder="1" applyAlignment="1">
      <alignment horizontal="left" vertical="center"/>
    </xf>
    <xf numFmtId="0" fontId="37" fillId="37" borderId="9" xfId="0" applyFont="1" applyFill="1" applyBorder="1" applyAlignment="1">
      <alignment horizontal="left" vertical="center"/>
    </xf>
    <xf numFmtId="0" fontId="37" fillId="37" borderId="82" xfId="0" applyFont="1" applyFill="1" applyBorder="1" applyAlignment="1">
      <alignment horizontal="center" vertical="center"/>
    </xf>
    <xf numFmtId="0" fontId="37" fillId="37" borderId="0" xfId="0" applyFont="1" applyFill="1" applyBorder="1" applyAlignment="1">
      <alignment horizontal="center" vertical="center"/>
    </xf>
    <xf numFmtId="0" fontId="37" fillId="37" borderId="13" xfId="0" applyFont="1" applyFill="1" applyBorder="1" applyAlignment="1">
      <alignment horizontal="center" vertical="center"/>
    </xf>
    <xf numFmtId="0" fontId="140" fillId="37" borderId="0" xfId="0" applyFont="1" applyFill="1" applyBorder="1" applyAlignment="1">
      <alignment horizontal="left" vertical="center" wrapText="1"/>
    </xf>
    <xf numFmtId="0" fontId="101" fillId="29" borderId="14" xfId="0" applyFont="1" applyFill="1" applyBorder="1" applyAlignment="1">
      <alignment horizontal="center" vertical="center"/>
    </xf>
    <xf numFmtId="0" fontId="101" fillId="29" borderId="16" xfId="0" applyFont="1" applyFill="1" applyBorder="1" applyAlignment="1">
      <alignment horizontal="center" vertical="center"/>
    </xf>
    <xf numFmtId="0" fontId="97" fillId="37" borderId="60" xfId="0" applyFont="1" applyFill="1" applyBorder="1" applyAlignment="1">
      <alignment horizontal="left" vertical="center"/>
    </xf>
    <xf numFmtId="0" fontId="97" fillId="37" borderId="59" xfId="0" applyFont="1" applyFill="1" applyBorder="1" applyAlignment="1">
      <alignment horizontal="left" vertical="center"/>
    </xf>
    <xf numFmtId="0" fontId="97" fillId="37" borderId="61" xfId="0" applyFont="1" applyFill="1" applyBorder="1" applyAlignment="1">
      <alignment horizontal="left" vertical="center"/>
    </xf>
    <xf numFmtId="0" fontId="97" fillId="29" borderId="14" xfId="0" applyFont="1" applyFill="1" applyBorder="1" applyAlignment="1">
      <alignment horizontal="center" vertical="center"/>
    </xf>
    <xf numFmtId="0" fontId="97" fillId="29" borderId="16" xfId="0" applyFont="1" applyFill="1" applyBorder="1" applyAlignment="1">
      <alignment horizontal="center" vertical="center"/>
    </xf>
    <xf numFmtId="0" fontId="97" fillId="29" borderId="15" xfId="0" applyFont="1" applyFill="1" applyBorder="1" applyAlignment="1">
      <alignment horizontal="center" vertical="center"/>
    </xf>
    <xf numFmtId="0" fontId="36" fillId="37" borderId="0" xfId="0" applyFont="1" applyFill="1" applyBorder="1" applyAlignment="1">
      <alignment horizontal="left" vertical="top" wrapText="1"/>
    </xf>
    <xf numFmtId="0" fontId="36" fillId="37" borderId="13" xfId="0" applyFont="1" applyFill="1" applyBorder="1" applyAlignment="1">
      <alignment horizontal="left" vertical="top" wrapText="1"/>
    </xf>
    <xf numFmtId="0" fontId="185" fillId="0" borderId="0" xfId="0" applyFont="1" applyAlignment="1">
      <alignment horizontal="left" vertical="top" wrapText="1"/>
    </xf>
    <xf numFmtId="0" fontId="185" fillId="2" borderId="4" xfId="0" applyFont="1" applyFill="1" applyBorder="1" applyAlignment="1">
      <alignment horizontal="center" vertical="top" wrapText="1"/>
    </xf>
    <xf numFmtId="0" fontId="185" fillId="2" borderId="6" xfId="0" applyFont="1" applyFill="1" applyBorder="1" applyAlignment="1">
      <alignment horizontal="center" vertical="top" wrapText="1"/>
    </xf>
    <xf numFmtId="0" fontId="185" fillId="2" borderId="7" xfId="0" applyFont="1" applyFill="1" applyBorder="1" applyAlignment="1">
      <alignment horizontal="center" vertical="top" wrapText="1"/>
    </xf>
    <xf numFmtId="0" fontId="185" fillId="2" borderId="9" xfId="0" applyFont="1" applyFill="1" applyBorder="1" applyAlignment="1">
      <alignment horizontal="center" vertical="top" wrapText="1"/>
    </xf>
    <xf numFmtId="0" fontId="245" fillId="2" borderId="4" xfId="0" quotePrefix="1" applyFont="1" applyFill="1" applyBorder="1" applyAlignment="1">
      <alignment horizontal="center" vertical="center"/>
    </xf>
    <xf numFmtId="0" fontId="245" fillId="2" borderId="5" xfId="0" quotePrefix="1" applyFont="1" applyFill="1" applyBorder="1" applyAlignment="1">
      <alignment horizontal="center" vertical="center"/>
    </xf>
    <xf numFmtId="0" fontId="245" fillId="2" borderId="6" xfId="0" quotePrefix="1" applyFont="1" applyFill="1" applyBorder="1" applyAlignment="1">
      <alignment horizontal="center" vertical="center"/>
    </xf>
    <xf numFmtId="0" fontId="245" fillId="2" borderId="7" xfId="0" quotePrefix="1" applyFont="1" applyFill="1" applyBorder="1" applyAlignment="1">
      <alignment horizontal="center" vertical="center"/>
    </xf>
    <xf numFmtId="0" fontId="245" fillId="2" borderId="8" xfId="0" quotePrefix="1" applyFont="1" applyFill="1" applyBorder="1" applyAlignment="1">
      <alignment horizontal="center" vertical="center"/>
    </xf>
    <xf numFmtId="0" fontId="245" fillId="2" borderId="9" xfId="0" quotePrefix="1" applyFont="1" applyFill="1" applyBorder="1" applyAlignment="1">
      <alignment horizontal="center" vertical="center"/>
    </xf>
    <xf numFmtId="0" fontId="244" fillId="0" borderId="0" xfId="0" applyFont="1" applyAlignment="1">
      <alignment horizontal="center" vertical="top" wrapText="1"/>
    </xf>
    <xf numFmtId="0" fontId="246" fillId="41" borderId="3" xfId="0" quotePrefix="1" applyFont="1" applyFill="1" applyBorder="1" applyAlignment="1">
      <alignment horizontal="left" vertical="top"/>
    </xf>
    <xf numFmtId="0" fontId="153" fillId="0" borderId="0" xfId="0" applyFont="1" applyAlignment="1">
      <alignment horizontal="justify" vertical="top" wrapText="1"/>
    </xf>
    <xf numFmtId="0" fontId="174" fillId="0" borderId="0" xfId="0" applyFont="1" applyAlignment="1">
      <alignment horizontal="justify" vertical="top" wrapText="1"/>
    </xf>
    <xf numFmtId="0" fontId="153" fillId="41" borderId="4" xfId="0" applyFont="1" applyFill="1" applyBorder="1" applyAlignment="1">
      <alignment horizontal="justify" vertical="top" wrapText="1"/>
    </xf>
    <xf numFmtId="0" fontId="153" fillId="41" borderId="5" xfId="0" applyFont="1" applyFill="1" applyBorder="1" applyAlignment="1">
      <alignment horizontal="justify" vertical="top" wrapText="1"/>
    </xf>
    <xf numFmtId="0" fontId="153" fillId="41" borderId="6" xfId="0" applyFont="1" applyFill="1" applyBorder="1" applyAlignment="1">
      <alignment horizontal="justify" vertical="top" wrapText="1"/>
    </xf>
    <xf numFmtId="0" fontId="0" fillId="41" borderId="7" xfId="0" applyFill="1" applyBorder="1" applyAlignment="1">
      <alignment horizontal="justify" vertical="top" wrapText="1"/>
    </xf>
    <xf numFmtId="0" fontId="0" fillId="41" borderId="8" xfId="0" applyFill="1" applyBorder="1" applyAlignment="1">
      <alignment horizontal="justify" vertical="top" wrapText="1"/>
    </xf>
    <xf numFmtId="0" fontId="0" fillId="41" borderId="9" xfId="0" applyFill="1" applyBorder="1" applyAlignment="1">
      <alignment horizontal="justify" vertical="top" wrapText="1"/>
    </xf>
    <xf numFmtId="9" fontId="153" fillId="41" borderId="10" xfId="0" applyNumberFormat="1" applyFont="1" applyFill="1" applyBorder="1" applyAlignment="1">
      <alignment horizontal="center" vertical="center"/>
    </xf>
    <xf numFmtId="9" fontId="153" fillId="41" borderId="11" xfId="0" applyNumberFormat="1" applyFont="1" applyFill="1" applyBorder="1" applyAlignment="1">
      <alignment horizontal="center" vertical="center"/>
    </xf>
    <xf numFmtId="0" fontId="0" fillId="41" borderId="82" xfId="0" applyFill="1" applyBorder="1" applyAlignment="1">
      <alignment horizontal="justify" vertical="top" wrapText="1"/>
    </xf>
    <xf numFmtId="0" fontId="153" fillId="0" borderId="0" xfId="0" applyFont="1" applyAlignment="1">
      <alignment horizontal="left" vertical="top"/>
    </xf>
    <xf numFmtId="0" fontId="153" fillId="0" borderId="0" xfId="0" applyFont="1" applyAlignment="1">
      <alignment vertical="top" wrapText="1"/>
    </xf>
    <xf numFmtId="0" fontId="153" fillId="41" borderId="4" xfId="0" applyFont="1" applyFill="1" applyBorder="1" applyAlignment="1">
      <alignment horizontal="center" vertical="center" wrapText="1"/>
    </xf>
    <xf numFmtId="0" fontId="153" fillId="41" borderId="6" xfId="0" applyFont="1" applyFill="1" applyBorder="1" applyAlignment="1">
      <alignment horizontal="center" vertical="center" wrapText="1"/>
    </xf>
    <xf numFmtId="0" fontId="153" fillId="41" borderId="82" xfId="0" applyFont="1" applyFill="1" applyBorder="1" applyAlignment="1">
      <alignment horizontal="center" vertical="center" wrapText="1"/>
    </xf>
    <xf numFmtId="0" fontId="153" fillId="41" borderId="13" xfId="0" applyFont="1" applyFill="1" applyBorder="1" applyAlignment="1">
      <alignment horizontal="center" vertical="center" wrapText="1"/>
    </xf>
    <xf numFmtId="0" fontId="153" fillId="41" borderId="7" xfId="0" applyFont="1" applyFill="1" applyBorder="1" applyAlignment="1">
      <alignment horizontal="center" vertical="center" wrapText="1"/>
    </xf>
    <xf numFmtId="0" fontId="153" fillId="41" borderId="9" xfId="0" applyFont="1" applyFill="1" applyBorder="1" applyAlignment="1">
      <alignment horizontal="center" vertical="center" wrapText="1"/>
    </xf>
    <xf numFmtId="0" fontId="153" fillId="41" borderId="0" xfId="0" applyFont="1" applyFill="1" applyBorder="1" applyAlignment="1">
      <alignment horizontal="justify" vertical="top" wrapText="1"/>
    </xf>
    <xf numFmtId="0" fontId="153" fillId="41" borderId="13" xfId="0" applyFont="1" applyFill="1" applyBorder="1" applyAlignment="1">
      <alignment horizontal="justify" vertical="top" wrapText="1"/>
    </xf>
    <xf numFmtId="0" fontId="153" fillId="41" borderId="0" xfId="0" applyFont="1" applyFill="1" applyAlignment="1">
      <alignment horizontal="justify" vertical="top" wrapText="1"/>
    </xf>
    <xf numFmtId="9" fontId="153" fillId="41" borderId="3" xfId="0" applyNumberFormat="1" applyFont="1" applyFill="1" applyBorder="1" applyAlignment="1">
      <alignment horizontal="center" vertical="center" wrapText="1"/>
    </xf>
    <xf numFmtId="0" fontId="153" fillId="41" borderId="3" xfId="0" applyFont="1" applyFill="1" applyBorder="1" applyAlignment="1">
      <alignment horizontal="center" vertical="center" wrapText="1"/>
    </xf>
    <xf numFmtId="0" fontId="154" fillId="2" borderId="4" xfId="0" applyFont="1" applyFill="1" applyBorder="1" applyAlignment="1">
      <alignment horizontal="center" vertical="center" wrapText="1"/>
    </xf>
    <xf numFmtId="0" fontId="154" fillId="2" borderId="6" xfId="0" applyFont="1" applyFill="1" applyBorder="1" applyAlignment="1">
      <alignment horizontal="center" vertical="center" wrapText="1"/>
    </xf>
    <xf numFmtId="0" fontId="154" fillId="2" borderId="7" xfId="0" applyFont="1" applyFill="1" applyBorder="1" applyAlignment="1">
      <alignment horizontal="center" vertical="center" wrapText="1"/>
    </xf>
    <xf numFmtId="0" fontId="154" fillId="2" borderId="9" xfId="0" applyFont="1" applyFill="1" applyBorder="1" applyAlignment="1">
      <alignment horizontal="center" vertical="center" wrapText="1"/>
    </xf>
    <xf numFmtId="0" fontId="154" fillId="2" borderId="5" xfId="0" applyFont="1" applyFill="1" applyBorder="1" applyAlignment="1">
      <alignment horizontal="center" vertical="center" wrapText="1"/>
    </xf>
    <xf numFmtId="0" fontId="154" fillId="2" borderId="8" xfId="0" applyFont="1" applyFill="1" applyBorder="1" applyAlignment="1">
      <alignment horizontal="center" vertical="center" wrapText="1"/>
    </xf>
    <xf numFmtId="0" fontId="154" fillId="2" borderId="10" xfId="0" applyFont="1" applyFill="1" applyBorder="1" applyAlignment="1">
      <alignment horizontal="center" vertical="center" wrapText="1"/>
    </xf>
    <xf numFmtId="0" fontId="154" fillId="2" borderId="11" xfId="0" applyFont="1" applyFill="1" applyBorder="1" applyAlignment="1">
      <alignment horizontal="center" vertical="center" wrapText="1"/>
    </xf>
    <xf numFmtId="0" fontId="245" fillId="41" borderId="3" xfId="0" quotePrefix="1" applyFont="1" applyFill="1" applyBorder="1" applyAlignment="1">
      <alignment horizontal="left" vertical="top"/>
    </xf>
    <xf numFmtId="0" fontId="185" fillId="41" borderId="3" xfId="0" applyFont="1" applyFill="1" applyBorder="1" applyAlignment="1">
      <alignment horizontal="center" vertical="top" wrapText="1"/>
    </xf>
    <xf numFmtId="0" fontId="245" fillId="41" borderId="3" xfId="0" quotePrefix="1" applyFont="1" applyFill="1" applyBorder="1" applyAlignment="1">
      <alignment horizontal="left" vertical="top" wrapText="1"/>
    </xf>
    <xf numFmtId="3" fontId="105" fillId="0" borderId="5" xfId="0" applyNumberFormat="1" applyFont="1" applyBorder="1"/>
    <xf numFmtId="0" fontId="172" fillId="0" borderId="0" xfId="0" applyFont="1" applyAlignment="1">
      <alignment horizontal="justify" vertical="top" wrapText="1"/>
    </xf>
    <xf numFmtId="0" fontId="171" fillId="0" borderId="0" xfId="0" applyFont="1" applyAlignment="1">
      <alignment horizontal="left" vertical="top" wrapText="1"/>
    </xf>
    <xf numFmtId="0" fontId="153" fillId="0" borderId="0" xfId="0" applyFont="1" applyAlignment="1">
      <alignment horizontal="justify" vertical="top"/>
    </xf>
    <xf numFmtId="0" fontId="217" fillId="0" borderId="0" xfId="0" applyFont="1"/>
    <xf numFmtId="0" fontId="170" fillId="0" borderId="0" xfId="0" applyFont="1" applyAlignment="1">
      <alignment vertical="top" wrapText="1"/>
    </xf>
    <xf numFmtId="0" fontId="153" fillId="9" borderId="0" xfId="0" applyFont="1" applyFill="1" applyAlignment="1">
      <alignment horizontal="justify" vertical="top" wrapText="1"/>
    </xf>
    <xf numFmtId="0" fontId="0" fillId="41" borderId="7" xfId="0" applyFill="1" applyBorder="1" applyAlignment="1">
      <alignment horizontal="center" vertical="center" wrapText="1"/>
    </xf>
    <xf numFmtId="0" fontId="0" fillId="41" borderId="9" xfId="0" applyFill="1" applyBorder="1" applyAlignment="1">
      <alignment horizontal="center" vertical="center" wrapText="1"/>
    </xf>
    <xf numFmtId="0" fontId="153" fillId="41" borderId="82" xfId="0" applyFont="1" applyFill="1" applyBorder="1" applyAlignment="1">
      <alignment horizontal="justify" vertical="top" wrapText="1"/>
    </xf>
    <xf numFmtId="9" fontId="153" fillId="41" borderId="10" xfId="0" applyNumberFormat="1" applyFont="1" applyFill="1" applyBorder="1" applyAlignment="1">
      <alignment horizontal="center" vertical="center" wrapText="1"/>
    </xf>
    <xf numFmtId="9" fontId="153" fillId="41" borderId="12" xfId="0" applyNumberFormat="1" applyFont="1" applyFill="1" applyBorder="1" applyAlignment="1">
      <alignment horizontal="center" vertical="center" wrapText="1"/>
    </xf>
    <xf numFmtId="9" fontId="153" fillId="41" borderId="11" xfId="0" applyNumberFormat="1" applyFont="1" applyFill="1" applyBorder="1" applyAlignment="1">
      <alignment horizontal="center" vertical="center" wrapText="1"/>
    </xf>
    <xf numFmtId="0" fontId="170" fillId="0" borderId="0" xfId="0" applyFont="1" applyAlignment="1">
      <alignment horizontal="justify" vertical="top" wrapText="1"/>
    </xf>
    <xf numFmtId="0" fontId="180" fillId="0" borderId="0" xfId="0" applyFont="1" applyAlignment="1">
      <alignment horizontal="justify" vertical="top" wrapText="1"/>
    </xf>
    <xf numFmtId="0" fontId="185" fillId="0" borderId="0" xfId="0" applyFont="1" applyAlignment="1">
      <alignment horizontal="justify" vertical="top" wrapText="1"/>
    </xf>
    <xf numFmtId="0" fontId="154" fillId="0" borderId="0" xfId="0" applyFont="1" applyAlignment="1">
      <alignment horizontal="justify" vertical="top" wrapText="1"/>
    </xf>
    <xf numFmtId="0" fontId="153" fillId="0" borderId="0" xfId="0" applyFont="1" applyFill="1" applyAlignment="1">
      <alignment horizontal="justify" vertical="top" wrapText="1"/>
    </xf>
    <xf numFmtId="0" fontId="153" fillId="41" borderId="7" xfId="0" applyFont="1" applyFill="1" applyBorder="1" applyAlignment="1">
      <alignment horizontal="justify" vertical="top" wrapText="1"/>
    </xf>
    <xf numFmtId="0" fontId="153" fillId="41" borderId="8" xfId="0" applyFont="1" applyFill="1" applyBorder="1" applyAlignment="1">
      <alignment horizontal="justify" vertical="top" wrapText="1"/>
    </xf>
    <xf numFmtId="0" fontId="153" fillId="41" borderId="9" xfId="0" applyFont="1" applyFill="1" applyBorder="1" applyAlignment="1">
      <alignment horizontal="justify" vertical="top" wrapText="1"/>
    </xf>
    <xf numFmtId="168" fontId="153" fillId="41" borderId="10" xfId="0" applyNumberFormat="1" applyFont="1" applyFill="1" applyBorder="1" applyAlignment="1">
      <alignment horizontal="center" vertical="center" wrapText="1"/>
    </xf>
    <xf numFmtId="168" fontId="153" fillId="41" borderId="11" xfId="0" applyNumberFormat="1" applyFont="1" applyFill="1" applyBorder="1" applyAlignment="1">
      <alignment horizontal="center" vertical="center" wrapText="1"/>
    </xf>
    <xf numFmtId="0" fontId="153" fillId="41" borderId="82" xfId="0" applyFont="1" applyFill="1" applyBorder="1" applyAlignment="1">
      <alignment horizontal="center" vertical="top"/>
    </xf>
    <xf numFmtId="0" fontId="153" fillId="41" borderId="7" xfId="0" applyFont="1" applyFill="1" applyBorder="1" applyAlignment="1">
      <alignment horizontal="center" vertical="top"/>
    </xf>
    <xf numFmtId="0" fontId="174" fillId="41" borderId="3" xfId="0" applyFont="1" applyFill="1" applyBorder="1" applyAlignment="1">
      <alignment horizontal="left" vertical="center"/>
    </xf>
    <xf numFmtId="0" fontId="174" fillId="41" borderId="3" xfId="0" applyFont="1" applyFill="1" applyBorder="1" applyAlignment="1">
      <alignment horizontal="center" vertical="center"/>
    </xf>
    <xf numFmtId="0" fontId="145" fillId="0" borderId="0" xfId="0" applyFont="1" applyAlignment="1">
      <alignment horizontal="left" vertical="top" wrapText="1"/>
    </xf>
    <xf numFmtId="0" fontId="174" fillId="0" borderId="0" xfId="0" applyFont="1" applyFill="1" applyAlignment="1">
      <alignment horizontal="justify" vertical="top" wrapText="1"/>
    </xf>
    <xf numFmtId="0" fontId="71" fillId="0" borderId="0" xfId="0" applyFont="1" applyAlignment="1">
      <alignment horizontal="justify" vertical="top" wrapText="1"/>
    </xf>
    <xf numFmtId="0" fontId="186" fillId="0" borderId="0" xfId="0" applyFont="1" applyAlignment="1">
      <alignment horizontal="center" vertical="center"/>
    </xf>
    <xf numFmtId="0" fontId="157" fillId="6" borderId="3" xfId="0" applyFont="1" applyFill="1" applyBorder="1" applyAlignment="1">
      <alignment horizontal="center" vertical="center"/>
    </xf>
    <xf numFmtId="0" fontId="177" fillId="0" borderId="0" xfId="0" applyFont="1" applyAlignment="1">
      <alignment horizontal="left" vertical="top" wrapText="1"/>
    </xf>
    <xf numFmtId="165" fontId="245" fillId="26" borderId="3" xfId="0" applyNumberFormat="1" applyFont="1" applyFill="1" applyBorder="1" applyAlignment="1">
      <alignment horizontal="center" vertical="top" wrapText="1"/>
    </xf>
    <xf numFmtId="165" fontId="248" fillId="33" borderId="3" xfId="0" applyNumberFormat="1" applyFont="1" applyFill="1" applyBorder="1" applyAlignment="1">
      <alignment horizontal="center" vertical="top" wrapText="1"/>
    </xf>
    <xf numFmtId="0" fontId="245" fillId="0" borderId="16" xfId="0" applyFont="1" applyBorder="1" applyAlignment="1">
      <alignment horizontal="left" vertical="top" wrapText="1"/>
    </xf>
    <xf numFmtId="0" fontId="245" fillId="0" borderId="15" xfId="0" applyFont="1" applyBorder="1" applyAlignment="1">
      <alignment horizontal="left" vertical="top" wrapText="1"/>
    </xf>
    <xf numFmtId="0" fontId="245" fillId="33" borderId="14" xfId="0" applyFont="1" applyFill="1" applyBorder="1" applyAlignment="1">
      <alignment horizontal="center" vertical="top" wrapText="1"/>
    </xf>
    <xf numFmtId="0" fontId="245" fillId="33" borderId="16" xfId="0" applyFont="1" applyFill="1" applyBorder="1" applyAlignment="1">
      <alignment horizontal="center" vertical="top" wrapText="1"/>
    </xf>
    <xf numFmtId="0" fontId="245" fillId="33" borderId="15" xfId="0" applyFont="1" applyFill="1" applyBorder="1" applyAlignment="1">
      <alignment horizontal="center" vertical="top" wrapText="1"/>
    </xf>
    <xf numFmtId="0" fontId="242" fillId="0" borderId="0" xfId="0" applyFont="1" applyAlignment="1">
      <alignment horizontal="left" vertical="top" wrapText="1"/>
    </xf>
    <xf numFmtId="0" fontId="187" fillId="6" borderId="4" xfId="0" applyFont="1" applyFill="1" applyBorder="1" applyAlignment="1">
      <alignment horizontal="center" vertical="center"/>
    </xf>
    <xf numFmtId="0" fontId="187" fillId="6" borderId="6" xfId="0" applyFont="1" applyFill="1" applyBorder="1" applyAlignment="1">
      <alignment horizontal="center" vertical="center"/>
    </xf>
    <xf numFmtId="0" fontId="187" fillId="6" borderId="7" xfId="0" applyFont="1" applyFill="1" applyBorder="1" applyAlignment="1">
      <alignment horizontal="center" vertical="center"/>
    </xf>
    <xf numFmtId="0" fontId="187" fillId="6" borderId="9" xfId="0" applyFont="1" applyFill="1" applyBorder="1" applyAlignment="1">
      <alignment horizontal="center" vertical="center"/>
    </xf>
    <xf numFmtId="0" fontId="187" fillId="33" borderId="14" xfId="0" applyFont="1" applyFill="1" applyBorder="1" applyAlignment="1">
      <alignment horizontal="center" vertical="center"/>
    </xf>
    <xf numFmtId="0" fontId="187" fillId="33" borderId="15" xfId="0" applyFont="1" applyFill="1" applyBorder="1" applyAlignment="1">
      <alignment horizontal="center" vertical="center"/>
    </xf>
    <xf numFmtId="0" fontId="172" fillId="0" borderId="14" xfId="0" applyFont="1" applyBorder="1" applyAlignment="1">
      <alignment vertical="center"/>
    </xf>
    <xf numFmtId="0" fontId="172" fillId="0" borderId="15" xfId="0" applyFont="1" applyBorder="1"/>
    <xf numFmtId="0" fontId="0" fillId="9" borderId="0" xfId="0" applyFont="1" applyFill="1" applyAlignment="1">
      <alignment horizontal="justify" vertical="top" wrapText="1"/>
    </xf>
    <xf numFmtId="0" fontId="172" fillId="0" borderId="14" xfId="0" applyFont="1" applyBorder="1" applyAlignment="1">
      <alignment vertical="top"/>
    </xf>
    <xf numFmtId="0" fontId="172" fillId="0" borderId="15" xfId="0" applyFont="1" applyBorder="1" applyAlignment="1">
      <alignment vertical="top"/>
    </xf>
    <xf numFmtId="0" fontId="199" fillId="0" borderId="14" xfId="0" applyFont="1" applyBorder="1" applyAlignment="1">
      <alignment vertical="center"/>
    </xf>
    <xf numFmtId="0" fontId="199" fillId="0" borderId="15" xfId="0" applyFont="1" applyBorder="1"/>
    <xf numFmtId="0" fontId="172" fillId="0" borderId="14" xfId="0" applyFont="1" applyBorder="1" applyAlignment="1">
      <alignment vertical="center" wrapText="1"/>
    </xf>
    <xf numFmtId="0" fontId="172" fillId="0" borderId="15" xfId="0" applyFont="1" applyBorder="1" applyAlignment="1">
      <alignment wrapText="1"/>
    </xf>
    <xf numFmtId="0" fontId="190" fillId="6" borderId="10" xfId="0" applyFont="1" applyFill="1" applyBorder="1" applyAlignment="1">
      <alignment horizontal="center" vertical="center" wrapText="1"/>
    </xf>
    <xf numFmtId="0" fontId="190" fillId="6" borderId="11" xfId="0" applyFont="1" applyFill="1" applyBorder="1" applyAlignment="1">
      <alignment horizontal="center" vertical="center" wrapText="1"/>
    </xf>
    <xf numFmtId="165" fontId="245" fillId="33" borderId="3" xfId="0" applyNumberFormat="1" applyFont="1" applyFill="1" applyBorder="1" applyAlignment="1">
      <alignment horizontal="center" vertical="top" wrapText="1"/>
    </xf>
    <xf numFmtId="165" fontId="245" fillId="26" borderId="14" xfId="0" applyNumberFormat="1" applyFont="1" applyFill="1" applyBorder="1" applyAlignment="1">
      <alignment horizontal="center" vertical="top" wrapText="1"/>
    </xf>
    <xf numFmtId="165" fontId="245" fillId="26" borderId="15" xfId="0" applyNumberFormat="1" applyFont="1" applyFill="1" applyBorder="1" applyAlignment="1">
      <alignment horizontal="center" vertical="top" wrapText="1"/>
    </xf>
    <xf numFmtId="0" fontId="245" fillId="0" borderId="14" xfId="0" applyFont="1" applyBorder="1" applyAlignment="1">
      <alignment horizontal="left" vertical="center" wrapText="1"/>
    </xf>
    <xf numFmtId="0" fontId="245" fillId="0" borderId="16" xfId="0" applyFont="1" applyBorder="1" applyAlignment="1">
      <alignment horizontal="left" vertical="center" wrapText="1"/>
    </xf>
    <xf numFmtId="0" fontId="245" fillId="0" borderId="15" xfId="0" applyFont="1" applyBorder="1" applyAlignment="1">
      <alignment horizontal="left" vertical="center" wrapText="1"/>
    </xf>
    <xf numFmtId="0" fontId="174" fillId="0" borderId="0" xfId="0" applyFont="1" applyAlignment="1" applyProtection="1">
      <alignment horizontal="justify" vertical="top" wrapText="1"/>
    </xf>
    <xf numFmtId="0" fontId="153" fillId="0" borderId="0" xfId="0" applyFont="1" applyAlignment="1" applyProtection="1">
      <alignment horizontal="justify" vertical="top" wrapText="1"/>
    </xf>
    <xf numFmtId="0" fontId="174" fillId="6" borderId="4" xfId="0" applyFont="1" applyFill="1" applyBorder="1" applyAlignment="1">
      <alignment horizontal="center" vertical="center" wrapText="1"/>
    </xf>
    <xf numFmtId="0" fontId="174" fillId="6" borderId="5" xfId="0" applyFont="1" applyFill="1" applyBorder="1" applyAlignment="1">
      <alignment horizontal="center" vertical="center" wrapText="1"/>
    </xf>
    <xf numFmtId="0" fontId="174" fillId="6" borderId="6" xfId="0" applyFont="1" applyFill="1" applyBorder="1" applyAlignment="1">
      <alignment horizontal="center" vertical="center" wrapText="1"/>
    </xf>
    <xf numFmtId="0" fontId="174" fillId="6" borderId="7" xfId="0" applyFont="1" applyFill="1" applyBorder="1" applyAlignment="1">
      <alignment horizontal="center" vertical="center" wrapText="1"/>
    </xf>
    <xf numFmtId="0" fontId="174" fillId="6" borderId="8" xfId="0" applyFont="1" applyFill="1" applyBorder="1" applyAlignment="1">
      <alignment horizontal="center" vertical="center" wrapText="1"/>
    </xf>
    <xf numFmtId="0" fontId="174" fillId="6" borderId="9" xfId="0" applyFont="1" applyFill="1" applyBorder="1" applyAlignment="1">
      <alignment horizontal="center" vertical="center" wrapText="1"/>
    </xf>
    <xf numFmtId="15" fontId="174" fillId="6" borderId="3" xfId="0" applyNumberFormat="1" applyFont="1" applyFill="1" applyBorder="1" applyAlignment="1">
      <alignment horizontal="center" vertical="top" wrapText="1"/>
    </xf>
    <xf numFmtId="0" fontId="174" fillId="6" borderId="3" xfId="0" applyFont="1" applyFill="1" applyBorder="1" applyAlignment="1">
      <alignment horizontal="center" vertical="top" wrapText="1"/>
    </xf>
    <xf numFmtId="0" fontId="174" fillId="6" borderId="3" xfId="0" applyFont="1" applyFill="1" applyBorder="1" applyAlignment="1">
      <alignment horizontal="center" vertical="center" wrapText="1"/>
    </xf>
    <xf numFmtId="0" fontId="173" fillId="0" borderId="8" xfId="0" applyFont="1" applyBorder="1" applyAlignment="1">
      <alignment horizontal="center" wrapText="1"/>
    </xf>
    <xf numFmtId="0" fontId="177" fillId="0" borderId="0" xfId="0" applyFont="1" applyAlignment="1">
      <alignment horizontal="justify" vertical="top" wrapText="1"/>
    </xf>
    <xf numFmtId="0" fontId="192" fillId="0" borderId="0" xfId="0" applyFont="1" applyAlignment="1">
      <alignment wrapText="1"/>
    </xf>
    <xf numFmtId="0" fontId="222" fillId="3" borderId="4" xfId="0" applyFont="1" applyFill="1" applyBorder="1" applyAlignment="1">
      <alignment horizontal="left" vertical="center" wrapText="1"/>
    </xf>
    <xf numFmtId="0" fontId="222" fillId="3" borderId="5" xfId="0" applyFont="1" applyFill="1" applyBorder="1" applyAlignment="1">
      <alignment horizontal="left" vertical="center" wrapText="1"/>
    </xf>
    <xf numFmtId="0" fontId="222" fillId="3" borderId="6" xfId="0" applyFont="1" applyFill="1" applyBorder="1" applyAlignment="1">
      <alignment horizontal="left" vertical="center" wrapText="1"/>
    </xf>
    <xf numFmtId="0" fontId="222" fillId="3" borderId="82" xfId="0" applyFont="1" applyFill="1" applyBorder="1" applyAlignment="1">
      <alignment horizontal="left" vertical="center" wrapText="1"/>
    </xf>
    <xf numFmtId="0" fontId="222" fillId="3" borderId="0" xfId="0" applyFont="1" applyFill="1" applyBorder="1" applyAlignment="1">
      <alignment horizontal="left" vertical="center" wrapText="1"/>
    </xf>
    <xf numFmtId="0" fontId="222" fillId="3" borderId="13" xfId="0" applyFont="1" applyFill="1" applyBorder="1" applyAlignment="1">
      <alignment horizontal="left" vertical="center" wrapText="1"/>
    </xf>
    <xf numFmtId="0" fontId="153" fillId="9" borderId="0" xfId="0" applyFont="1" applyFill="1" applyAlignment="1">
      <alignment vertical="top" wrapText="1"/>
    </xf>
    <xf numFmtId="0" fontId="222" fillId="0" borderId="0" xfId="0" applyFont="1" applyAlignment="1">
      <alignment horizontal="left" vertical="center"/>
    </xf>
    <xf numFmtId="0" fontId="222" fillId="0" borderId="0" xfId="0" applyFont="1" applyBorder="1" applyAlignment="1">
      <alignment horizontal="left" vertical="center"/>
    </xf>
    <xf numFmtId="0" fontId="199" fillId="0" borderId="14" xfId="0" applyFont="1" applyBorder="1" applyAlignment="1">
      <alignment vertical="center" wrapText="1"/>
    </xf>
    <xf numFmtId="0" fontId="199" fillId="0" borderId="15" xfId="0" applyFont="1" applyBorder="1" applyAlignment="1">
      <alignment wrapText="1"/>
    </xf>
    <xf numFmtId="0" fontId="222" fillId="0" borderId="0" xfId="0" applyFont="1" applyBorder="1" applyAlignment="1">
      <alignment wrapText="1"/>
    </xf>
    <xf numFmtId="0" fontId="220" fillId="0" borderId="4" xfId="0" applyFont="1" applyBorder="1" applyAlignment="1">
      <alignment vertical="top" wrapText="1"/>
    </xf>
    <xf numFmtId="0" fontId="220" fillId="0" borderId="82" xfId="0" applyFont="1" applyBorder="1" applyAlignment="1">
      <alignment vertical="top" wrapText="1"/>
    </xf>
    <xf numFmtId="0" fontId="220" fillId="0" borderId="7" xfId="0" applyFont="1" applyBorder="1" applyAlignment="1">
      <alignment vertical="top" wrapText="1"/>
    </xf>
    <xf numFmtId="0" fontId="220" fillId="0" borderId="10" xfId="0" applyFont="1" applyBorder="1" applyAlignment="1">
      <alignment vertical="top" wrapText="1"/>
    </xf>
    <xf numFmtId="0" fontId="220" fillId="0" borderId="12" xfId="0" applyFont="1" applyBorder="1" applyAlignment="1"/>
    <xf numFmtId="0" fontId="220" fillId="0" borderId="11" xfId="0" applyFont="1" applyBorder="1" applyAlignment="1"/>
    <xf numFmtId="0" fontId="225" fillId="16" borderId="5" xfId="0" applyFont="1" applyFill="1" applyBorder="1" applyAlignment="1">
      <alignment vertical="top" wrapText="1"/>
    </xf>
    <xf numFmtId="0" fontId="225" fillId="17" borderId="5" xfId="0" applyFont="1" applyFill="1" applyBorder="1" applyAlignment="1"/>
    <xf numFmtId="0" fontId="225" fillId="17" borderId="6" xfId="0" applyFont="1" applyFill="1" applyBorder="1" applyAlignment="1"/>
    <xf numFmtId="0" fontId="225" fillId="17" borderId="0" xfId="0" applyFont="1" applyFill="1" applyBorder="1" applyAlignment="1"/>
    <xf numFmtId="0" fontId="225" fillId="17" borderId="13" xfId="0" applyFont="1" applyFill="1" applyBorder="1" applyAlignment="1"/>
    <xf numFmtId="0" fontId="225" fillId="17" borderId="8" xfId="0" applyFont="1" applyFill="1" applyBorder="1" applyAlignment="1"/>
    <xf numFmtId="0" fontId="225" fillId="17" borderId="9" xfId="0" applyFont="1" applyFill="1" applyBorder="1" applyAlignment="1"/>
    <xf numFmtId="0" fontId="187" fillId="6" borderId="82" xfId="0" applyFont="1" applyFill="1" applyBorder="1" applyAlignment="1">
      <alignment horizontal="center" vertical="center"/>
    </xf>
    <xf numFmtId="0" fontId="187" fillId="6" borderId="13" xfId="0" applyFont="1" applyFill="1" applyBorder="1" applyAlignment="1">
      <alignment horizontal="center" vertical="center"/>
    </xf>
    <xf numFmtId="0" fontId="187" fillId="0" borderId="14" xfId="0" applyFont="1" applyBorder="1" applyAlignment="1">
      <alignment horizontal="center" vertical="center"/>
    </xf>
    <xf numFmtId="0" fontId="187" fillId="0" borderId="15" xfId="0" applyFont="1" applyBorder="1" applyAlignment="1">
      <alignment horizontal="center" vertical="center"/>
    </xf>
    <xf numFmtId="0" fontId="179" fillId="0" borderId="14" xfId="0" applyFont="1" applyBorder="1" applyAlignment="1">
      <alignment horizontal="center" vertical="center"/>
    </xf>
    <xf numFmtId="0" fontId="179" fillId="0" borderId="15" xfId="0" applyFont="1" applyBorder="1" applyAlignment="1">
      <alignment horizontal="center" vertical="center"/>
    </xf>
    <xf numFmtId="0" fontId="187" fillId="6" borderId="10" xfId="0" applyFont="1" applyFill="1" applyBorder="1" applyAlignment="1">
      <alignment horizontal="center" wrapText="1"/>
    </xf>
    <xf numFmtId="0" fontId="187" fillId="6" borderId="11" xfId="0" applyFont="1" applyFill="1" applyBorder="1" applyAlignment="1">
      <alignment horizontal="center" wrapText="1"/>
    </xf>
    <xf numFmtId="0" fontId="178" fillId="0" borderId="8" xfId="0" applyFont="1" applyBorder="1" applyAlignment="1">
      <alignment horizontal="center" vertical="center" wrapText="1"/>
    </xf>
    <xf numFmtId="0" fontId="172" fillId="0" borderId="14" xfId="0" applyFont="1" applyBorder="1" applyAlignment="1">
      <alignment vertical="top" wrapText="1"/>
    </xf>
    <xf numFmtId="0" fontId="179" fillId="0" borderId="14" xfId="0" applyFont="1" applyBorder="1" applyAlignment="1">
      <alignment horizontal="left" vertical="center"/>
    </xf>
    <xf numFmtId="0" fontId="179" fillId="0" borderId="15" xfId="0" applyFont="1" applyBorder="1" applyAlignment="1">
      <alignment horizontal="left" vertical="center"/>
    </xf>
    <xf numFmtId="0" fontId="179" fillId="0" borderId="14" xfId="0" applyFont="1" applyBorder="1" applyAlignment="1">
      <alignment vertical="center" wrapText="1"/>
    </xf>
    <xf numFmtId="0" fontId="179" fillId="0" borderId="15" xfId="0" applyFont="1" applyBorder="1" applyAlignment="1">
      <alignment vertical="center" wrapText="1"/>
    </xf>
    <xf numFmtId="0" fontId="206" fillId="0" borderId="14" xfId="0" applyFont="1" applyBorder="1" applyAlignment="1">
      <alignment vertical="center" wrapText="1"/>
    </xf>
    <xf numFmtId="0" fontId="206" fillId="0" borderId="15" xfId="0" applyFont="1" applyBorder="1" applyAlignment="1">
      <alignment wrapText="1"/>
    </xf>
    <xf numFmtId="37" fontId="187" fillId="6" borderId="10" xfId="0" applyNumberFormat="1" applyFont="1" applyFill="1" applyBorder="1" applyAlignment="1">
      <alignment horizontal="center" vertical="center" wrapText="1"/>
    </xf>
    <xf numFmtId="37" fontId="187" fillId="6" borderId="12" xfId="0" applyNumberFormat="1" applyFont="1" applyFill="1" applyBorder="1" applyAlignment="1">
      <alignment horizontal="center" vertical="center" wrapText="1"/>
    </xf>
    <xf numFmtId="37" fontId="187" fillId="6" borderId="10" xfId="0" applyNumberFormat="1" applyFont="1" applyFill="1" applyBorder="1" applyAlignment="1">
      <alignment horizontal="center" wrapText="1"/>
    </xf>
    <xf numFmtId="37" fontId="187" fillId="6" borderId="12" xfId="0" applyNumberFormat="1" applyFont="1" applyFill="1" applyBorder="1" applyAlignment="1">
      <alignment horizontal="center" wrapText="1"/>
    </xf>
    <xf numFmtId="3" fontId="23" fillId="0" borderId="5" xfId="0" applyNumberFormat="1" applyFont="1" applyBorder="1"/>
    <xf numFmtId="0" fontId="216" fillId="0" borderId="0" xfId="0" applyFont="1" applyAlignment="1">
      <alignment vertical="center" wrapText="1"/>
    </xf>
    <xf numFmtId="0" fontId="114" fillId="0" borderId="0" xfId="0" applyFont="1" applyAlignment="1">
      <alignment horizontal="center" vertical="center" wrapText="1"/>
    </xf>
    <xf numFmtId="0" fontId="187" fillId="6" borderId="3" xfId="0" applyFont="1" applyFill="1" applyBorder="1" applyAlignment="1">
      <alignment horizontal="center" vertical="center"/>
    </xf>
    <xf numFmtId="0" fontId="195" fillId="0" borderId="0" xfId="0" applyFont="1" applyAlignment="1">
      <alignment horizontal="center" vertical="center" wrapText="1"/>
    </xf>
    <xf numFmtId="0" fontId="190" fillId="33" borderId="14" xfId="0" applyFont="1" applyFill="1" applyBorder="1" applyAlignment="1">
      <alignment horizontal="center" vertical="center"/>
    </xf>
    <xf numFmtId="0" fontId="190" fillId="33" borderId="15" xfId="0" applyFont="1" applyFill="1" applyBorder="1" applyAlignment="1">
      <alignment horizontal="center" vertical="center"/>
    </xf>
    <xf numFmtId="37" fontId="187" fillId="6" borderId="14" xfId="0" quotePrefix="1" applyNumberFormat="1" applyFont="1" applyFill="1" applyBorder="1" applyAlignment="1">
      <alignment horizontal="center" vertical="center" wrapText="1"/>
    </xf>
    <xf numFmtId="37" fontId="187" fillId="6" borderId="16" xfId="0" applyNumberFormat="1" applyFont="1" applyFill="1" applyBorder="1" applyAlignment="1">
      <alignment horizontal="center" vertical="center" wrapText="1"/>
    </xf>
    <xf numFmtId="37" fontId="187" fillId="6" borderId="15" xfId="0" applyNumberFormat="1" applyFont="1" applyFill="1" applyBorder="1" applyAlignment="1">
      <alignment horizontal="center" vertical="center" wrapText="1"/>
    </xf>
    <xf numFmtId="0" fontId="179" fillId="0" borderId="8" xfId="0" applyFont="1" applyBorder="1" applyAlignment="1">
      <alignment horizontal="center" vertical="center" wrapText="1"/>
    </xf>
    <xf numFmtId="0" fontId="178" fillId="0" borderId="0" xfId="0" applyFont="1" applyAlignment="1">
      <alignment horizontal="center" vertical="center" wrapText="1"/>
    </xf>
    <xf numFmtId="0" fontId="0" fillId="0" borderId="0" xfId="0" applyAlignment="1">
      <alignment horizontal="left" vertical="top" wrapText="1"/>
    </xf>
    <xf numFmtId="0" fontId="129" fillId="0" borderId="0" xfId="0" applyFont="1"/>
    <xf numFmtId="0" fontId="220" fillId="0" borderId="0" xfId="0" applyFont="1" applyBorder="1" applyAlignment="1">
      <alignment vertical="top" wrapText="1"/>
    </xf>
    <xf numFmtId="0" fontId="128" fillId="0" borderId="0" xfId="0" applyFont="1" applyBorder="1" applyAlignment="1">
      <alignment vertical="top"/>
    </xf>
    <xf numFmtId="0" fontId="129" fillId="16" borderId="0" xfId="0" applyFont="1" applyFill="1" applyBorder="1" applyAlignment="1">
      <alignment horizontal="justify" vertical="top" wrapText="1"/>
    </xf>
    <xf numFmtId="0" fontId="187" fillId="6" borderId="10" xfId="0" applyFont="1" applyFill="1" applyBorder="1" applyAlignment="1">
      <alignment horizontal="center" vertical="center"/>
    </xf>
    <xf numFmtId="0" fontId="187" fillId="6" borderId="11" xfId="0" applyFont="1" applyFill="1" applyBorder="1" applyAlignment="1">
      <alignment horizontal="center" vertical="center"/>
    </xf>
    <xf numFmtId="0" fontId="172" fillId="0" borderId="15" xfId="0" applyFont="1" applyBorder="1" applyAlignment="1">
      <alignment vertical="top" wrapText="1"/>
    </xf>
    <xf numFmtId="0" fontId="225" fillId="0" borderId="4" xfId="0" applyFont="1" applyBorder="1" applyAlignment="1">
      <alignment vertical="top" wrapText="1"/>
    </xf>
    <xf numFmtId="0" fontId="225" fillId="0" borderId="5" xfId="0" applyFont="1" applyBorder="1" applyAlignment="1">
      <alignment vertical="top" wrapText="1"/>
    </xf>
    <xf numFmtId="0" fontId="225" fillId="0" borderId="6" xfId="0" applyFont="1" applyBorder="1" applyAlignment="1">
      <alignment vertical="top" wrapText="1"/>
    </xf>
    <xf numFmtId="0" fontId="225" fillId="0" borderId="82" xfId="0" applyFont="1" applyBorder="1" applyAlignment="1">
      <alignment vertical="top" wrapText="1"/>
    </xf>
    <xf numFmtId="0" fontId="225" fillId="0" borderId="0" xfId="0" applyFont="1" applyBorder="1" applyAlignment="1">
      <alignment vertical="top" wrapText="1"/>
    </xf>
    <xf numFmtId="0" fontId="225" fillId="0" borderId="13" xfId="0" applyFont="1" applyBorder="1" applyAlignment="1">
      <alignment vertical="top" wrapText="1"/>
    </xf>
    <xf numFmtId="0" fontId="225" fillId="0" borderId="7" xfId="0" applyFont="1" applyBorder="1" applyAlignment="1">
      <alignment vertical="top" wrapText="1"/>
    </xf>
    <xf numFmtId="0" fontId="225" fillId="0" borderId="8" xfId="0" applyFont="1" applyBorder="1" applyAlignment="1">
      <alignment vertical="top" wrapText="1"/>
    </xf>
    <xf numFmtId="0" fontId="225" fillId="0" borderId="9" xfId="0" applyFont="1" applyBorder="1" applyAlignment="1">
      <alignment vertical="top" wrapText="1"/>
    </xf>
    <xf numFmtId="0" fontId="187" fillId="2" borderId="4" xfId="0" applyFont="1" applyFill="1" applyBorder="1" applyAlignment="1">
      <alignment horizontal="center" vertical="center"/>
    </xf>
    <xf numFmtId="0" fontId="187" fillId="2" borderId="6" xfId="0" applyFont="1" applyFill="1" applyBorder="1" applyAlignment="1">
      <alignment horizontal="center" vertical="center"/>
    </xf>
    <xf numFmtId="0" fontId="187" fillId="2" borderId="7" xfId="0" applyFont="1" applyFill="1" applyBorder="1" applyAlignment="1">
      <alignment horizontal="center" vertical="center"/>
    </xf>
    <xf numFmtId="0" fontId="187" fillId="2" borderId="9" xfId="0" applyFont="1" applyFill="1" applyBorder="1" applyAlignment="1">
      <alignment horizontal="center" vertical="center"/>
    </xf>
    <xf numFmtId="0" fontId="0" fillId="30" borderId="196" xfId="0" applyFill="1" applyBorder="1" applyAlignment="1">
      <alignment vertical="top" wrapText="1"/>
    </xf>
    <xf numFmtId="0" fontId="0" fillId="30" borderId="197" xfId="0" applyFill="1" applyBorder="1" applyAlignment="1">
      <alignment vertical="top" wrapText="1"/>
    </xf>
    <xf numFmtId="0" fontId="0" fillId="30" borderId="198" xfId="0" applyFill="1" applyBorder="1" applyAlignment="1">
      <alignment vertical="top" wrapText="1"/>
    </xf>
    <xf numFmtId="0" fontId="220" fillId="0" borderId="12" xfId="0" applyFont="1" applyBorder="1" applyAlignment="1">
      <alignment vertical="top" wrapText="1"/>
    </xf>
    <xf numFmtId="0" fontId="220" fillId="0" borderId="12" xfId="0" applyFont="1" applyBorder="1" applyAlignment="1">
      <alignment vertical="top"/>
    </xf>
    <xf numFmtId="0" fontId="220" fillId="0" borderId="11" xfId="0" applyFont="1" applyBorder="1" applyAlignment="1">
      <alignment vertical="top"/>
    </xf>
    <xf numFmtId="0" fontId="220" fillId="0" borderId="10" xfId="0" applyFont="1" applyBorder="1" applyAlignment="1">
      <alignment horizontal="center" vertical="top" wrapText="1"/>
    </xf>
    <xf numFmtId="0" fontId="220" fillId="0" borderId="12" xfId="0" applyFont="1" applyBorder="1" applyAlignment="1">
      <alignment horizontal="center" vertical="top" wrapText="1"/>
    </xf>
    <xf numFmtId="0" fontId="220" fillId="0" borderId="11" xfId="0" applyFont="1" applyBorder="1" applyAlignment="1">
      <alignment horizontal="center" vertical="top" wrapText="1"/>
    </xf>
    <xf numFmtId="0" fontId="222" fillId="0" borderId="0" xfId="0" applyFont="1" applyBorder="1" applyAlignment="1">
      <alignment horizontal="left" vertical="top" wrapText="1"/>
    </xf>
    <xf numFmtId="0" fontId="173" fillId="0" borderId="0" xfId="0" applyFont="1" applyBorder="1" applyAlignment="1">
      <alignment horizontal="center" vertical="center" wrapText="1"/>
    </xf>
    <xf numFmtId="0" fontId="225" fillId="33" borderId="4" xfId="0" applyFont="1" applyFill="1" applyBorder="1" applyAlignment="1">
      <alignment horizontal="left" vertical="top" wrapText="1"/>
    </xf>
    <xf numFmtId="0" fontId="225" fillId="33" borderId="5" xfId="0" applyFont="1" applyFill="1" applyBorder="1" applyAlignment="1">
      <alignment horizontal="left" vertical="top" wrapText="1"/>
    </xf>
    <xf numFmtId="0" fontId="225" fillId="33" borderId="6" xfId="0" applyFont="1" applyFill="1" applyBorder="1" applyAlignment="1">
      <alignment horizontal="left" vertical="top" wrapText="1"/>
    </xf>
    <xf numFmtId="0" fontId="225" fillId="33" borderId="82" xfId="0" applyFont="1" applyFill="1" applyBorder="1" applyAlignment="1">
      <alignment horizontal="left" vertical="top" wrapText="1"/>
    </xf>
    <xf numFmtId="0" fontId="225" fillId="33" borderId="0" xfId="0" applyFont="1" applyFill="1" applyBorder="1" applyAlignment="1">
      <alignment horizontal="left" vertical="top" wrapText="1"/>
    </xf>
    <xf numFmtId="0" fontId="225" fillId="33" borderId="13" xfId="0" applyFont="1" applyFill="1" applyBorder="1" applyAlignment="1">
      <alignment horizontal="left" vertical="top" wrapText="1"/>
    </xf>
    <xf numFmtId="0" fontId="225" fillId="33" borderId="7" xfId="0" applyFont="1" applyFill="1" applyBorder="1" applyAlignment="1">
      <alignment horizontal="left" vertical="top" wrapText="1"/>
    </xf>
    <xf numFmtId="0" fontId="225" fillId="33" borderId="8" xfId="0" applyFont="1" applyFill="1" applyBorder="1" applyAlignment="1">
      <alignment horizontal="left" vertical="top" wrapText="1"/>
    </xf>
    <xf numFmtId="0" fontId="225" fillId="33" borderId="9" xfId="0" applyFont="1" applyFill="1" applyBorder="1" applyAlignment="1">
      <alignment horizontal="left" vertical="top" wrapText="1"/>
    </xf>
    <xf numFmtId="0" fontId="223" fillId="3" borderId="4" xfId="0" applyFont="1" applyFill="1" applyBorder="1" applyAlignment="1">
      <alignment horizontal="center" vertical="center" wrapText="1"/>
    </xf>
    <xf numFmtId="0" fontId="223" fillId="3" borderId="5" xfId="0" applyFont="1" applyFill="1" applyBorder="1" applyAlignment="1">
      <alignment horizontal="center" vertical="center" wrapText="1"/>
    </xf>
    <xf numFmtId="0" fontId="223" fillId="3" borderId="6" xfId="0" applyFont="1" applyFill="1" applyBorder="1" applyAlignment="1">
      <alignment horizontal="center" vertical="center" wrapText="1"/>
    </xf>
    <xf numFmtId="0" fontId="223" fillId="3" borderId="7" xfId="0" applyFont="1" applyFill="1" applyBorder="1" applyAlignment="1">
      <alignment horizontal="center" vertical="center" wrapText="1"/>
    </xf>
    <xf numFmtId="0" fontId="223" fillId="3" borderId="8" xfId="0" applyFont="1" applyFill="1" applyBorder="1" applyAlignment="1">
      <alignment horizontal="center" vertical="center" wrapText="1"/>
    </xf>
    <xf numFmtId="0" fontId="223" fillId="3" borderId="9" xfId="0" applyFont="1" applyFill="1" applyBorder="1" applyAlignment="1">
      <alignment horizontal="center" vertical="center" wrapText="1"/>
    </xf>
    <xf numFmtId="0" fontId="117" fillId="6" borderId="3" xfId="0" applyFont="1" applyFill="1" applyBorder="1" applyAlignment="1">
      <alignment horizontal="center" vertical="center"/>
    </xf>
    <xf numFmtId="15" fontId="190" fillId="6" borderId="14" xfId="0" applyNumberFormat="1" applyFont="1" applyFill="1" applyBorder="1" applyAlignment="1">
      <alignment horizontal="center" vertical="center" wrapText="1"/>
    </xf>
    <xf numFmtId="0" fontId="190" fillId="6" borderId="16" xfId="0" applyFont="1" applyFill="1" applyBorder="1" applyAlignment="1">
      <alignment horizontal="center" vertical="center" wrapText="1"/>
    </xf>
    <xf numFmtId="0" fontId="190" fillId="6" borderId="15" xfId="0" applyFont="1" applyFill="1" applyBorder="1" applyAlignment="1">
      <alignment horizontal="center" vertical="center" wrapText="1"/>
    </xf>
    <xf numFmtId="0" fontId="187" fillId="6" borderId="10" xfId="0" applyFont="1" applyFill="1" applyBorder="1" applyAlignment="1">
      <alignment horizontal="center" vertical="center" wrapText="1"/>
    </xf>
    <xf numFmtId="0" fontId="187" fillId="6" borderId="11" xfId="0" applyFont="1" applyFill="1" applyBorder="1" applyAlignment="1">
      <alignment horizontal="center" vertical="center" wrapText="1"/>
    </xf>
    <xf numFmtId="0" fontId="220" fillId="0" borderId="10" xfId="0" applyFont="1" applyBorder="1" applyAlignment="1">
      <alignment horizontal="center" vertical="top"/>
    </xf>
    <xf numFmtId="0" fontId="220" fillId="0" borderId="12" xfId="0" applyFont="1" applyBorder="1" applyAlignment="1">
      <alignment horizontal="center" vertical="top"/>
    </xf>
    <xf numFmtId="0" fontId="220" fillId="0" borderId="11" xfId="0" applyFont="1" applyBorder="1" applyAlignment="1">
      <alignment horizontal="center" vertical="top"/>
    </xf>
    <xf numFmtId="10" fontId="225" fillId="16" borderId="4" xfId="0" applyNumberFormat="1" applyFont="1" applyFill="1" applyBorder="1" applyAlignment="1">
      <alignment horizontal="left" vertical="top" wrapText="1"/>
    </xf>
    <xf numFmtId="10" fontId="225" fillId="16" borderId="5" xfId="0" applyNumberFormat="1" applyFont="1" applyFill="1" applyBorder="1" applyAlignment="1">
      <alignment horizontal="left" vertical="top" wrapText="1"/>
    </xf>
    <xf numFmtId="10" fontId="225" fillId="16" borderId="6" xfId="0" applyNumberFormat="1" applyFont="1" applyFill="1" applyBorder="1" applyAlignment="1">
      <alignment horizontal="left" vertical="top" wrapText="1"/>
    </xf>
    <xf numFmtId="10" fontId="225" fillId="16" borderId="82" xfId="0" applyNumberFormat="1" applyFont="1" applyFill="1" applyBorder="1" applyAlignment="1">
      <alignment horizontal="left" vertical="top" wrapText="1"/>
    </xf>
    <xf numFmtId="10" fontId="225" fillId="16" borderId="0" xfId="0" applyNumberFormat="1" applyFont="1" applyFill="1" applyBorder="1" applyAlignment="1">
      <alignment horizontal="left" vertical="top" wrapText="1"/>
    </xf>
    <xf numFmtId="10" fontId="225" fillId="16" borderId="13" xfId="0" applyNumberFormat="1" applyFont="1" applyFill="1" applyBorder="1" applyAlignment="1">
      <alignment horizontal="left" vertical="top" wrapText="1"/>
    </xf>
    <xf numFmtId="10" fontId="225" fillId="16" borderId="7" xfId="0" applyNumberFormat="1" applyFont="1" applyFill="1" applyBorder="1" applyAlignment="1">
      <alignment horizontal="left" vertical="top" wrapText="1"/>
    </xf>
    <xf numFmtId="10" fontId="225" fillId="16" borderId="8" xfId="0" applyNumberFormat="1" applyFont="1" applyFill="1" applyBorder="1" applyAlignment="1">
      <alignment horizontal="left" vertical="top" wrapText="1"/>
    </xf>
    <xf numFmtId="10" fontId="225" fillId="16" borderId="9" xfId="0" applyNumberFormat="1" applyFont="1" applyFill="1" applyBorder="1" applyAlignment="1">
      <alignment horizontal="left" vertical="top" wrapText="1"/>
    </xf>
    <xf numFmtId="0" fontId="130" fillId="0" borderId="0" xfId="0" applyFont="1" applyBorder="1" applyAlignment="1">
      <alignment wrapText="1"/>
    </xf>
    <xf numFmtId="0" fontId="222" fillId="0" borderId="0" xfId="0" applyFont="1" applyBorder="1" applyAlignment="1">
      <alignment horizontal="left" vertical="top"/>
    </xf>
    <xf numFmtId="0" fontId="222" fillId="0" borderId="4" xfId="0" applyFont="1" applyBorder="1" applyAlignment="1">
      <alignment horizontal="center" vertical="center" wrapText="1"/>
    </xf>
    <xf numFmtId="0" fontId="222" fillId="0" borderId="5" xfId="0" applyFont="1" applyBorder="1" applyAlignment="1">
      <alignment horizontal="center" vertical="center" wrapText="1"/>
    </xf>
    <xf numFmtId="0" fontId="222" fillId="0" borderId="6" xfId="0" applyFont="1" applyBorder="1" applyAlignment="1">
      <alignment horizontal="center" vertical="center" wrapText="1"/>
    </xf>
    <xf numFmtId="0" fontId="222" fillId="0" borderId="82" xfId="0" applyFont="1" applyBorder="1" applyAlignment="1">
      <alignment horizontal="center" vertical="center" wrapText="1"/>
    </xf>
    <xf numFmtId="0" fontId="222" fillId="0" borderId="0" xfId="0" applyFont="1" applyBorder="1" applyAlignment="1">
      <alignment horizontal="center" vertical="center" wrapText="1"/>
    </xf>
    <xf numFmtId="0" fontId="222" fillId="0" borderId="13" xfId="0" applyFont="1" applyBorder="1" applyAlignment="1">
      <alignment horizontal="center" vertical="center" wrapText="1"/>
    </xf>
    <xf numFmtId="0" fontId="222" fillId="0" borderId="7" xfId="0" applyFont="1" applyBorder="1" applyAlignment="1">
      <alignment horizontal="center" vertical="center" wrapText="1"/>
    </xf>
    <xf numFmtId="0" fontId="222" fillId="0" borderId="8" xfId="0" applyFont="1" applyBorder="1" applyAlignment="1">
      <alignment horizontal="center" vertical="center" wrapText="1"/>
    </xf>
    <xf numFmtId="0" fontId="222" fillId="0" borderId="9" xfId="0" applyFont="1" applyBorder="1" applyAlignment="1">
      <alignment horizontal="center" vertical="center" wrapText="1"/>
    </xf>
    <xf numFmtId="0" fontId="225" fillId="16" borderId="4" xfId="0" applyFont="1" applyFill="1" applyBorder="1" applyAlignment="1">
      <alignment horizontal="left" vertical="top" wrapText="1"/>
    </xf>
    <xf numFmtId="0" fontId="225" fillId="16" borderId="5" xfId="0" applyFont="1" applyFill="1" applyBorder="1" applyAlignment="1">
      <alignment horizontal="left" vertical="top" wrapText="1"/>
    </xf>
    <xf numFmtId="0" fontId="225" fillId="16" borderId="6" xfId="0" applyFont="1" applyFill="1" applyBorder="1" applyAlignment="1">
      <alignment horizontal="left" vertical="top" wrapText="1"/>
    </xf>
    <xf numFmtId="0" fontId="225" fillId="16" borderId="82" xfId="0" applyFont="1" applyFill="1" applyBorder="1" applyAlignment="1">
      <alignment horizontal="left" vertical="top" wrapText="1"/>
    </xf>
    <xf numFmtId="0" fontId="225" fillId="16" borderId="0" xfId="0" applyFont="1" applyFill="1" applyBorder="1" applyAlignment="1">
      <alignment horizontal="left" vertical="top" wrapText="1"/>
    </xf>
    <xf numFmtId="0" fontId="225" fillId="16" borderId="13" xfId="0" applyFont="1" applyFill="1" applyBorder="1" applyAlignment="1">
      <alignment horizontal="left" vertical="top" wrapText="1"/>
    </xf>
    <xf numFmtId="0" fontId="225" fillId="16" borderId="7" xfId="0" applyFont="1" applyFill="1" applyBorder="1" applyAlignment="1">
      <alignment horizontal="left" vertical="top" wrapText="1"/>
    </xf>
    <xf numFmtId="0" fontId="225" fillId="16" borderId="8" xfId="0" applyFont="1" applyFill="1" applyBorder="1" applyAlignment="1">
      <alignment horizontal="left" vertical="top" wrapText="1"/>
    </xf>
    <xf numFmtId="0" fontId="225" fillId="16" borderId="9" xfId="0" applyFont="1" applyFill="1" applyBorder="1" applyAlignment="1">
      <alignment horizontal="left" vertical="top" wrapText="1"/>
    </xf>
    <xf numFmtId="0" fontId="222" fillId="0" borderId="0" xfId="0" applyFont="1" applyBorder="1" applyAlignment="1">
      <alignment horizontal="left"/>
    </xf>
    <xf numFmtId="0" fontId="187" fillId="0" borderId="3" xfId="0" applyFont="1" applyBorder="1" applyAlignment="1">
      <alignment horizontal="center" vertical="center"/>
    </xf>
    <xf numFmtId="0" fontId="172" fillId="0" borderId="3" xfId="0" applyFont="1" applyBorder="1" applyAlignment="1">
      <alignment horizontal="center" vertical="center"/>
    </xf>
    <xf numFmtId="0" fontId="220" fillId="0" borderId="5" xfId="0" applyFont="1" applyBorder="1" applyAlignment="1">
      <alignment horizontal="center" vertical="top" wrapText="1"/>
    </xf>
    <xf numFmtId="0" fontId="220" fillId="0" borderId="0" xfId="0" applyFont="1" applyBorder="1" applyAlignment="1">
      <alignment horizontal="center" vertical="top" wrapText="1"/>
    </xf>
    <xf numFmtId="0" fontId="220" fillId="0" borderId="8" xfId="0" applyFont="1" applyBorder="1" applyAlignment="1">
      <alignment horizontal="center" vertical="top" wrapText="1"/>
    </xf>
    <xf numFmtId="0" fontId="226" fillId="0" borderId="4" xfId="0" applyFont="1" applyBorder="1" applyAlignment="1">
      <alignment horizontal="center" vertical="center" wrapText="1"/>
    </xf>
    <xf numFmtId="0" fontId="226" fillId="0" borderId="5" xfId="0" applyFont="1" applyBorder="1" applyAlignment="1">
      <alignment horizontal="center" vertical="center" wrapText="1"/>
    </xf>
    <xf numFmtId="0" fontId="226" fillId="0" borderId="6" xfId="0" applyFont="1" applyBorder="1" applyAlignment="1">
      <alignment horizontal="center" vertical="center" wrapText="1"/>
    </xf>
    <xf numFmtId="0" fontId="226" fillId="0" borderId="82" xfId="0" applyFont="1" applyBorder="1" applyAlignment="1">
      <alignment horizontal="center" vertical="center" wrapText="1"/>
    </xf>
    <xf numFmtId="0" fontId="226" fillId="0" borderId="0" xfId="0" applyFont="1" applyBorder="1" applyAlignment="1">
      <alignment horizontal="center" vertical="center" wrapText="1"/>
    </xf>
    <xf numFmtId="0" fontId="226" fillId="0" borderId="13" xfId="0" applyFont="1" applyBorder="1" applyAlignment="1">
      <alignment horizontal="center" vertical="center" wrapText="1"/>
    </xf>
    <xf numFmtId="0" fontId="226" fillId="0" borderId="7" xfId="0" applyFont="1" applyBorder="1" applyAlignment="1">
      <alignment horizontal="center" vertical="center" wrapText="1"/>
    </xf>
    <xf numFmtId="0" fontId="226" fillId="0" borderId="8" xfId="0" applyFont="1" applyBorder="1" applyAlignment="1">
      <alignment horizontal="center" vertical="center" wrapText="1"/>
    </xf>
    <xf numFmtId="0" fontId="226" fillId="0" borderId="9" xfId="0" applyFont="1" applyBorder="1" applyAlignment="1">
      <alignment horizontal="center" vertical="center" wrapText="1"/>
    </xf>
    <xf numFmtId="0" fontId="222" fillId="0" borderId="119" xfId="0" applyFont="1" applyBorder="1" applyAlignment="1">
      <alignment horizontal="left" wrapText="1"/>
    </xf>
    <xf numFmtId="0" fontId="192" fillId="0" borderId="0" xfId="0" applyFont="1" applyAlignment="1">
      <alignment horizontal="left" wrapText="1"/>
    </xf>
    <xf numFmtId="0" fontId="207" fillId="0" borderId="14" xfId="0" applyFont="1" applyBorder="1" applyAlignment="1">
      <alignment vertical="center" wrapText="1"/>
    </xf>
    <xf numFmtId="0" fontId="207" fillId="0" borderId="15" xfId="0" applyFont="1" applyBorder="1" applyAlignment="1">
      <alignment wrapText="1"/>
    </xf>
    <xf numFmtId="0" fontId="187" fillId="6" borderId="12" xfId="0" applyFont="1" applyFill="1" applyBorder="1" applyAlignment="1">
      <alignment horizontal="center" wrapText="1"/>
    </xf>
    <xf numFmtId="0" fontId="222" fillId="3" borderId="4" xfId="0" applyFont="1" applyFill="1" applyBorder="1" applyAlignment="1">
      <alignment horizontal="center" vertical="center" wrapText="1"/>
    </xf>
    <xf numFmtId="0" fontId="222" fillId="3" borderId="5" xfId="0" applyFont="1" applyFill="1" applyBorder="1" applyAlignment="1">
      <alignment horizontal="center" vertical="center" wrapText="1"/>
    </xf>
    <xf numFmtId="0" fontId="222" fillId="3" borderId="6" xfId="0" applyFont="1" applyFill="1" applyBorder="1" applyAlignment="1">
      <alignment horizontal="center" vertical="center" wrapText="1"/>
    </xf>
    <xf numFmtId="0" fontId="222" fillId="3" borderId="82" xfId="0" applyFont="1" applyFill="1" applyBorder="1" applyAlignment="1">
      <alignment horizontal="center" vertical="center" wrapText="1"/>
    </xf>
    <xf numFmtId="0" fontId="222" fillId="3" borderId="0" xfId="0" applyFont="1" applyFill="1" applyBorder="1" applyAlignment="1">
      <alignment horizontal="center" vertical="center" wrapText="1"/>
    </xf>
    <xf numFmtId="0" fontId="222" fillId="3" borderId="13" xfId="0" applyFont="1" applyFill="1" applyBorder="1" applyAlignment="1">
      <alignment horizontal="center" vertical="center" wrapText="1"/>
    </xf>
    <xf numFmtId="0" fontId="222" fillId="3" borderId="7" xfId="0" applyFont="1" applyFill="1" applyBorder="1" applyAlignment="1">
      <alignment horizontal="center" vertical="center" wrapText="1"/>
    </xf>
    <xf numFmtId="0" fontId="222" fillId="3" borderId="8" xfId="0" applyFont="1" applyFill="1" applyBorder="1" applyAlignment="1">
      <alignment horizontal="center" vertical="center" wrapText="1"/>
    </xf>
    <xf numFmtId="0" fontId="222" fillId="3" borderId="9" xfId="0" applyFont="1" applyFill="1" applyBorder="1" applyAlignment="1">
      <alignment horizontal="center" vertical="center" wrapText="1"/>
    </xf>
    <xf numFmtId="0" fontId="128" fillId="0" borderId="4" xfId="0" applyFont="1" applyBorder="1" applyAlignment="1">
      <alignment horizontal="justify" vertical="center" wrapText="1"/>
    </xf>
    <xf numFmtId="0" fontId="128" fillId="0" borderId="5" xfId="0" applyFont="1" applyBorder="1" applyAlignment="1">
      <alignment horizontal="justify" vertical="center" wrapText="1"/>
    </xf>
    <xf numFmtId="0" fontId="128" fillId="0" borderId="6" xfId="0" applyFont="1" applyBorder="1" applyAlignment="1">
      <alignment horizontal="justify" vertical="center" wrapText="1"/>
    </xf>
    <xf numFmtId="0" fontId="128" fillId="0" borderId="82" xfId="0" applyFont="1" applyBorder="1" applyAlignment="1">
      <alignment horizontal="justify" vertical="center" wrapText="1"/>
    </xf>
    <xf numFmtId="0" fontId="128" fillId="0" borderId="0" xfId="0" applyFont="1" applyBorder="1" applyAlignment="1">
      <alignment horizontal="justify" vertical="center" wrapText="1"/>
    </xf>
    <xf numFmtId="0" fontId="128" fillId="0" borderId="13" xfId="0" applyFont="1" applyBorder="1" applyAlignment="1">
      <alignment horizontal="justify" vertical="center" wrapText="1"/>
    </xf>
    <xf numFmtId="0" fontId="128" fillId="0" borderId="7" xfId="0" applyFont="1" applyBorder="1" applyAlignment="1">
      <alignment horizontal="justify" vertical="center" wrapText="1"/>
    </xf>
    <xf numFmtId="0" fontId="128" fillId="0" borderId="8" xfId="0" applyFont="1" applyBorder="1" applyAlignment="1">
      <alignment horizontal="justify" vertical="center" wrapText="1"/>
    </xf>
    <xf numFmtId="0" fontId="128" fillId="0" borderId="9" xfId="0" applyFont="1" applyBorder="1" applyAlignment="1">
      <alignment horizontal="justify" vertical="center" wrapText="1"/>
    </xf>
    <xf numFmtId="0" fontId="0" fillId="30" borderId="205" xfId="0" applyFill="1" applyBorder="1" applyAlignment="1">
      <alignment vertical="top" wrapText="1"/>
    </xf>
    <xf numFmtId="0" fontId="0" fillId="30" borderId="206" xfId="0" applyFill="1" applyBorder="1" applyAlignment="1">
      <alignment vertical="top" wrapText="1"/>
    </xf>
    <xf numFmtId="0" fontId="0" fillId="30" borderId="207" xfId="0" applyFill="1" applyBorder="1" applyAlignment="1">
      <alignment vertical="top" wrapText="1"/>
    </xf>
    <xf numFmtId="0" fontId="225" fillId="16" borderId="0" xfId="0" applyFont="1" applyFill="1" applyBorder="1" applyAlignment="1">
      <alignment vertical="top" wrapText="1"/>
    </xf>
    <xf numFmtId="165" fontId="153" fillId="34" borderId="3" xfId="1" applyFont="1" applyFill="1" applyBorder="1" applyAlignment="1">
      <alignment horizontal="right"/>
    </xf>
    <xf numFmtId="0" fontId="173" fillId="0" borderId="8" xfId="0" applyFont="1" applyBorder="1" applyAlignment="1">
      <alignment horizontal="center"/>
    </xf>
    <xf numFmtId="0" fontId="154" fillId="2" borderId="3" xfId="0" applyFont="1" applyFill="1" applyBorder="1" applyAlignment="1">
      <alignment horizontal="center" vertical="center"/>
    </xf>
    <xf numFmtId="165" fontId="153" fillId="0" borderId="3" xfId="1" applyFont="1" applyFill="1" applyBorder="1" applyAlignment="1">
      <alignment horizontal="right"/>
    </xf>
    <xf numFmtId="0" fontId="153" fillId="34" borderId="3" xfId="0" applyFont="1" applyFill="1" applyBorder="1" applyAlignment="1">
      <alignment horizontal="left" vertical="center"/>
    </xf>
    <xf numFmtId="165" fontId="153" fillId="33" borderId="3" xfId="0" applyNumberFormat="1" applyFont="1" applyFill="1" applyBorder="1" applyAlignment="1">
      <alignment horizontal="left"/>
    </xf>
    <xf numFmtId="0" fontId="174" fillId="0" borderId="14" xfId="0" applyFont="1" applyFill="1" applyBorder="1" applyAlignment="1">
      <alignment horizontal="left" vertical="center"/>
    </xf>
    <xf numFmtId="0" fontId="174" fillId="0" borderId="16" xfId="0" applyFont="1" applyFill="1" applyBorder="1" applyAlignment="1">
      <alignment horizontal="left" vertical="center"/>
    </xf>
    <xf numFmtId="0" fontId="174" fillId="0" borderId="15" xfId="0" applyFont="1" applyFill="1" applyBorder="1" applyAlignment="1">
      <alignment horizontal="left" vertical="center"/>
    </xf>
    <xf numFmtId="165" fontId="153" fillId="0" borderId="14" xfId="0" applyNumberFormat="1" applyFont="1" applyBorder="1" applyAlignment="1">
      <alignment horizontal="left"/>
    </xf>
    <xf numFmtId="165" fontId="153" fillId="0" borderId="16" xfId="0" applyNumberFormat="1" applyFont="1" applyBorder="1" applyAlignment="1">
      <alignment horizontal="left"/>
    </xf>
    <xf numFmtId="165" fontId="153" fillId="0" borderId="15" xfId="0" applyNumberFormat="1" applyFont="1" applyBorder="1" applyAlignment="1">
      <alignment horizontal="left"/>
    </xf>
    <xf numFmtId="0" fontId="154" fillId="33" borderId="3" xfId="0" applyFont="1" applyFill="1" applyBorder="1" applyAlignment="1">
      <alignment horizontal="left" vertical="center"/>
    </xf>
    <xf numFmtId="0" fontId="153" fillId="0" borderId="0" xfId="0" applyFont="1" applyAlignment="1">
      <alignment horizontal="left" vertical="top" wrapText="1"/>
    </xf>
    <xf numFmtId="0" fontId="154" fillId="0" borderId="0" xfId="0" applyFont="1" applyFill="1" applyBorder="1" applyAlignment="1">
      <alignment horizontal="left" vertical="top" wrapText="1"/>
    </xf>
    <xf numFmtId="0" fontId="157" fillId="2" borderId="3" xfId="0" applyFont="1" applyFill="1" applyBorder="1" applyAlignment="1">
      <alignment horizontal="left" vertical="center"/>
    </xf>
    <xf numFmtId="165" fontId="153" fillId="2" borderId="3" xfId="0" applyNumberFormat="1" applyFont="1" applyFill="1" applyBorder="1" applyAlignment="1">
      <alignment horizontal="left"/>
    </xf>
    <xf numFmtId="165" fontId="153" fillId="34" borderId="3" xfId="0" applyNumberFormat="1" applyFont="1" applyFill="1" applyBorder="1" applyAlignment="1">
      <alignment horizontal="left"/>
    </xf>
    <xf numFmtId="0" fontId="153" fillId="0" borderId="3" xfId="0" applyFont="1" applyFill="1" applyBorder="1" applyAlignment="1">
      <alignment horizontal="left" vertical="center"/>
    </xf>
    <xf numFmtId="0" fontId="209" fillId="0" borderId="0" xfId="0" applyFont="1" applyAlignment="1">
      <alignment horizontal="left" vertical="top" wrapText="1"/>
    </xf>
    <xf numFmtId="0" fontId="153" fillId="0" borderId="0" xfId="0" applyFont="1" applyAlignment="1">
      <alignment horizontal="left"/>
    </xf>
    <xf numFmtId="0" fontId="187" fillId="2" borderId="14" xfId="0" applyFont="1" applyFill="1" applyBorder="1" applyAlignment="1">
      <alignment horizontal="center" vertical="center"/>
    </xf>
    <xf numFmtId="0" fontId="187" fillId="2" borderId="15" xfId="0" applyFont="1" applyFill="1" applyBorder="1" applyAlignment="1">
      <alignment horizontal="center" vertical="center"/>
    </xf>
    <xf numFmtId="169" fontId="187" fillId="2" borderId="14" xfId="0" applyNumberFormat="1" applyFont="1" applyFill="1" applyBorder="1" applyAlignment="1">
      <alignment horizontal="center" vertical="center"/>
    </xf>
    <xf numFmtId="169" fontId="187" fillId="2" borderId="16" xfId="0" applyNumberFormat="1" applyFont="1" applyFill="1" applyBorder="1" applyAlignment="1">
      <alignment horizontal="center" vertical="center"/>
    </xf>
    <xf numFmtId="169" fontId="187" fillId="2" borderId="15" xfId="0" applyNumberFormat="1" applyFont="1" applyFill="1" applyBorder="1" applyAlignment="1">
      <alignment horizontal="center" vertical="center"/>
    </xf>
    <xf numFmtId="0" fontId="172" fillId="0" borderId="14" xfId="0" applyFont="1" applyFill="1" applyBorder="1" applyAlignment="1"/>
    <xf numFmtId="0" fontId="172" fillId="0" borderId="15" xfId="0" applyFont="1" applyFill="1" applyBorder="1" applyAlignment="1"/>
    <xf numFmtId="165" fontId="172" fillId="0" borderId="14" xfId="1" applyFont="1" applyFill="1" applyBorder="1" applyAlignment="1">
      <alignment horizontal="center"/>
    </xf>
    <xf numFmtId="165" fontId="172" fillId="0" borderId="16" xfId="1" applyFont="1" applyFill="1" applyBorder="1" applyAlignment="1">
      <alignment horizontal="center"/>
    </xf>
    <xf numFmtId="165" fontId="172" fillId="0" borderId="15" xfId="1" applyFont="1" applyFill="1" applyBorder="1" applyAlignment="1">
      <alignment horizontal="center"/>
    </xf>
    <xf numFmtId="165" fontId="187" fillId="37" borderId="3" xfId="1" applyFont="1" applyFill="1" applyBorder="1" applyAlignment="1">
      <alignment horizontal="center" vertical="center"/>
    </xf>
    <xf numFmtId="0" fontId="172" fillId="0" borderId="14" xfId="1" applyNumberFormat="1" applyFont="1" applyFill="1" applyBorder="1" applyAlignment="1"/>
    <xf numFmtId="0" fontId="172" fillId="0" borderId="15" xfId="1" applyNumberFormat="1" applyFont="1" applyFill="1" applyBorder="1" applyAlignment="1"/>
    <xf numFmtId="0" fontId="187" fillId="37" borderId="14" xfId="0" applyFont="1" applyFill="1" applyBorder="1" applyAlignment="1">
      <alignment horizontal="center"/>
    </xf>
    <xf numFmtId="0" fontId="187" fillId="37" borderId="16" xfId="0" applyFont="1" applyFill="1" applyBorder="1" applyAlignment="1">
      <alignment horizontal="center"/>
    </xf>
    <xf numFmtId="0" fontId="187" fillId="37" borderId="15" xfId="0" applyFont="1" applyFill="1" applyBorder="1" applyAlignment="1">
      <alignment horizontal="center"/>
    </xf>
    <xf numFmtId="165" fontId="187" fillId="37" borderId="3" xfId="0" applyNumberFormat="1" applyFont="1" applyFill="1" applyBorder="1" applyAlignment="1">
      <alignment horizontal="center"/>
    </xf>
    <xf numFmtId="0" fontId="187" fillId="37" borderId="3" xfId="0" applyFont="1" applyFill="1" applyBorder="1" applyAlignment="1">
      <alignment horizontal="center"/>
    </xf>
    <xf numFmtId="0" fontId="172" fillId="9" borderId="50" xfId="0" applyFont="1" applyFill="1" applyBorder="1" applyAlignment="1"/>
    <xf numFmtId="0" fontId="172" fillId="9" borderId="51" xfId="0" applyFont="1" applyFill="1" applyBorder="1" applyAlignment="1"/>
    <xf numFmtId="165" fontId="172" fillId="9" borderId="86" xfId="1" applyFont="1" applyFill="1" applyBorder="1" applyAlignment="1">
      <alignment horizontal="center"/>
    </xf>
    <xf numFmtId="0" fontId="172" fillId="0" borderId="161" xfId="0" applyFont="1" applyBorder="1" applyAlignment="1"/>
    <xf numFmtId="0" fontId="172" fillId="0" borderId="162" xfId="0" applyFont="1" applyBorder="1" applyAlignment="1"/>
    <xf numFmtId="0" fontId="209" fillId="0" borderId="0" xfId="0" applyFont="1" applyAlignment="1">
      <alignment vertical="top" wrapText="1"/>
    </xf>
    <xf numFmtId="165" fontId="172" fillId="0" borderId="3" xfId="1" applyFont="1" applyFill="1" applyBorder="1" applyAlignment="1">
      <alignment horizontal="right" vertical="center"/>
    </xf>
    <xf numFmtId="165" fontId="187" fillId="0" borderId="3" xfId="1" applyFont="1" applyFill="1" applyBorder="1" applyAlignment="1">
      <alignment horizontal="right" vertical="center"/>
    </xf>
    <xf numFmtId="165" fontId="187" fillId="37" borderId="14" xfId="1" applyFont="1" applyFill="1" applyBorder="1" applyAlignment="1">
      <alignment horizontal="right" vertical="center"/>
    </xf>
    <xf numFmtId="165" fontId="187" fillId="37" borderId="16" xfId="1" applyFont="1" applyFill="1" applyBorder="1" applyAlignment="1">
      <alignment horizontal="right" vertical="center"/>
    </xf>
    <xf numFmtId="165" fontId="187" fillId="37" borderId="15" xfId="1" applyFont="1" applyFill="1" applyBorder="1" applyAlignment="1">
      <alignment horizontal="right" vertical="center"/>
    </xf>
    <xf numFmtId="0" fontId="173" fillId="0" borderId="8" xfId="0" applyFont="1" applyBorder="1" applyAlignment="1">
      <alignment horizontal="center" vertical="top" wrapText="1"/>
    </xf>
    <xf numFmtId="15" fontId="187" fillId="2" borderId="14" xfId="0" applyNumberFormat="1" applyFont="1" applyFill="1" applyBorder="1" applyAlignment="1">
      <alignment horizontal="center" vertical="center"/>
    </xf>
    <xf numFmtId="15" fontId="187" fillId="2" borderId="16" xfId="0" applyNumberFormat="1" applyFont="1" applyFill="1" applyBorder="1" applyAlignment="1">
      <alignment horizontal="center" vertical="center"/>
    </xf>
    <xf numFmtId="15" fontId="187" fillId="2" borderId="15" xfId="0" applyNumberFormat="1" applyFont="1" applyFill="1" applyBorder="1" applyAlignment="1">
      <alignment horizontal="center" vertical="center"/>
    </xf>
    <xf numFmtId="0" fontId="172" fillId="9" borderId="95" xfId="0" applyFont="1" applyFill="1" applyBorder="1" applyAlignment="1"/>
    <xf numFmtId="0" fontId="172" fillId="9" borderId="97" xfId="0" applyFont="1" applyFill="1" applyBorder="1" applyAlignment="1"/>
    <xf numFmtId="165" fontId="172" fillId="9" borderId="132" xfId="1" applyFont="1" applyFill="1" applyBorder="1" applyAlignment="1">
      <alignment horizontal="center"/>
    </xf>
    <xf numFmtId="0" fontId="174" fillId="0" borderId="0" xfId="0" applyFont="1" applyFill="1" applyAlignment="1"/>
    <xf numFmtId="0" fontId="174" fillId="0" borderId="0" xfId="0" quotePrefix="1" applyFont="1" applyFill="1" applyAlignment="1">
      <alignment horizontal="justify" vertical="top" wrapText="1"/>
    </xf>
    <xf numFmtId="0" fontId="174" fillId="0" borderId="8" xfId="0" applyFont="1" applyFill="1" applyBorder="1" applyAlignment="1">
      <alignment horizontal="justify" vertical="center" wrapText="1"/>
    </xf>
    <xf numFmtId="0" fontId="172" fillId="0" borderId="16" xfId="0" quotePrefix="1" applyFont="1" applyBorder="1" applyAlignment="1"/>
    <xf numFmtId="0" fontId="172" fillId="0" borderId="136" xfId="0" quotePrefix="1" applyFont="1" applyBorder="1" applyAlignment="1"/>
    <xf numFmtId="0" fontId="247" fillId="6" borderId="3" xfId="0" applyFont="1" applyFill="1" applyBorder="1" applyAlignment="1">
      <alignment horizontal="center" vertical="center"/>
    </xf>
    <xf numFmtId="0" fontId="185" fillId="0" borderId="14" xfId="0" applyFont="1" applyFill="1" applyBorder="1" applyAlignment="1">
      <alignment horizontal="left" vertical="center" wrapText="1"/>
    </xf>
    <xf numFmtId="0" fontId="185" fillId="0" borderId="15" xfId="0" applyFont="1" applyFill="1" applyBorder="1" applyAlignment="1">
      <alignment horizontal="left" vertical="center" wrapText="1"/>
    </xf>
    <xf numFmtId="0" fontId="185" fillId="0" borderId="14" xfId="0" applyFont="1" applyFill="1" applyBorder="1" applyAlignment="1">
      <alignment horizontal="left" vertical="center"/>
    </xf>
    <xf numFmtId="0" fontId="185" fillId="0" borderId="15" xfId="0" applyFont="1" applyFill="1" applyBorder="1" applyAlignment="1">
      <alignment horizontal="left" vertical="center"/>
    </xf>
    <xf numFmtId="0" fontId="185" fillId="37" borderId="3" xfId="0" applyFont="1" applyFill="1" applyBorder="1" applyAlignment="1">
      <alignment horizontal="center"/>
    </xf>
    <xf numFmtId="0" fontId="153" fillId="0" borderId="8" xfId="0" applyFont="1" applyBorder="1" applyAlignment="1">
      <alignment horizontal="center"/>
    </xf>
    <xf numFmtId="0" fontId="174" fillId="0" borderId="0" xfId="0" applyFont="1" applyFill="1" applyAlignment="1">
      <alignment horizontal="justify" vertical="top"/>
    </xf>
    <xf numFmtId="165" fontId="153" fillId="34" borderId="161" xfId="1" applyNumberFormat="1" applyFont="1" applyFill="1" applyBorder="1" applyAlignment="1">
      <alignment horizontal="right" vertical="center" wrapText="1"/>
    </xf>
    <xf numFmtId="165" fontId="153" fillId="34" borderId="162" xfId="1" applyNumberFormat="1" applyFont="1" applyFill="1" applyBorder="1" applyAlignment="1">
      <alignment horizontal="right" vertical="center" wrapText="1"/>
    </xf>
    <xf numFmtId="165" fontId="187" fillId="33" borderId="14" xfId="1" applyNumberFormat="1" applyFont="1" applyFill="1" applyBorder="1" applyAlignment="1">
      <alignment horizontal="right"/>
    </xf>
    <xf numFmtId="165" fontId="187" fillId="33" borderId="15" xfId="1" applyNumberFormat="1" applyFont="1" applyFill="1" applyBorder="1" applyAlignment="1">
      <alignment horizontal="right"/>
    </xf>
    <xf numFmtId="0" fontId="154" fillId="2" borderId="14" xfId="0" applyFont="1" applyFill="1" applyBorder="1" applyAlignment="1">
      <alignment horizontal="center" vertical="center" wrapText="1"/>
    </xf>
    <xf numFmtId="0" fontId="154" fillId="2" borderId="15" xfId="0" applyFont="1" applyFill="1" applyBorder="1" applyAlignment="1">
      <alignment horizontal="center" vertical="center" wrapText="1"/>
    </xf>
    <xf numFmtId="165" fontId="153" fillId="34" borderId="95" xfId="1" applyNumberFormat="1" applyFont="1" applyFill="1" applyBorder="1" applyAlignment="1">
      <alignment horizontal="right" vertical="center" wrapText="1"/>
    </xf>
    <xf numFmtId="165" fontId="153" fillId="34" borderId="97" xfId="1" applyNumberFormat="1" applyFont="1" applyFill="1" applyBorder="1" applyAlignment="1">
      <alignment horizontal="right" vertical="center" wrapText="1"/>
    </xf>
    <xf numFmtId="0" fontId="187" fillId="33" borderId="14" xfId="0" applyFont="1" applyFill="1" applyBorder="1" applyAlignment="1">
      <alignment horizontal="center"/>
    </xf>
    <xf numFmtId="0" fontId="187" fillId="33" borderId="16" xfId="0" applyFont="1" applyFill="1" applyBorder="1" applyAlignment="1">
      <alignment horizontal="center"/>
    </xf>
    <xf numFmtId="0" fontId="187" fillId="33" borderId="15" xfId="0" applyFont="1" applyFill="1" applyBorder="1" applyAlignment="1">
      <alignment horizontal="center"/>
    </xf>
    <xf numFmtId="165" fontId="172" fillId="33" borderId="3" xfId="0" applyNumberFormat="1" applyFont="1" applyFill="1" applyBorder="1" applyAlignment="1">
      <alignment horizontal="center"/>
    </xf>
    <xf numFmtId="165" fontId="172" fillId="34" borderId="14" xfId="2" applyNumberFormat="1" applyFont="1" applyFill="1" applyBorder="1" applyAlignment="1">
      <alignment horizontal="center"/>
    </xf>
    <xf numFmtId="165" fontId="172" fillId="34" borderId="16" xfId="2" applyNumberFormat="1" applyFont="1" applyFill="1" applyBorder="1" applyAlignment="1">
      <alignment horizontal="center"/>
    </xf>
    <xf numFmtId="165" fontId="172" fillId="34" borderId="15" xfId="2" applyNumberFormat="1" applyFont="1" applyFill="1" applyBorder="1" applyAlignment="1">
      <alignment horizontal="center"/>
    </xf>
    <xf numFmtId="0" fontId="172" fillId="34" borderId="14" xfId="0" applyFont="1" applyFill="1" applyBorder="1" applyAlignment="1">
      <alignment horizontal="left" vertical="center"/>
    </xf>
    <xf numFmtId="0" fontId="172" fillId="34" borderId="16" xfId="0" applyFont="1" applyFill="1" applyBorder="1" applyAlignment="1">
      <alignment horizontal="left" vertical="center"/>
    </xf>
    <xf numFmtId="0" fontId="172" fillId="34" borderId="15" xfId="0" applyFont="1" applyFill="1" applyBorder="1" applyAlignment="1">
      <alignment horizontal="left" vertical="center"/>
    </xf>
    <xf numFmtId="0" fontId="153" fillId="34" borderId="3" xfId="0" applyFont="1" applyFill="1" applyBorder="1" applyAlignment="1">
      <alignment horizontal="center" vertical="center"/>
    </xf>
    <xf numFmtId="0" fontId="187" fillId="2" borderId="16" xfId="0" applyFont="1" applyFill="1" applyBorder="1" applyAlignment="1">
      <alignment horizontal="center" vertical="center"/>
    </xf>
    <xf numFmtId="0" fontId="173" fillId="0" borderId="0" xfId="0" applyFont="1" applyBorder="1" applyAlignment="1">
      <alignment horizontal="center"/>
    </xf>
    <xf numFmtId="0" fontId="154" fillId="2" borderId="3" xfId="0" applyFont="1" applyFill="1" applyBorder="1" applyAlignment="1">
      <alignment horizontal="center" vertical="center" wrapText="1"/>
    </xf>
    <xf numFmtId="165" fontId="153" fillId="0" borderId="3" xfId="0" applyNumberFormat="1" applyFont="1" applyBorder="1" applyAlignment="1">
      <alignment horizontal="center" wrapText="1"/>
    </xf>
    <xf numFmtId="165" fontId="154" fillId="37" borderId="3" xfId="0" applyNumberFormat="1" applyFont="1" applyFill="1" applyBorder="1" applyAlignment="1">
      <alignment horizontal="center" wrapText="1"/>
    </xf>
    <xf numFmtId="165" fontId="153" fillId="9" borderId="14" xfId="1" applyFont="1" applyFill="1" applyBorder="1" applyAlignment="1"/>
    <xf numFmtId="165" fontId="153" fillId="9" borderId="16" xfId="1" applyFont="1" applyFill="1" applyBorder="1" applyAlignment="1"/>
    <xf numFmtId="165" fontId="153" fillId="9" borderId="15" xfId="1" applyFont="1" applyFill="1" applyBorder="1" applyAlignment="1"/>
    <xf numFmtId="0" fontId="187" fillId="37" borderId="14" xfId="0" applyFont="1" applyFill="1" applyBorder="1" applyAlignment="1">
      <alignment horizontal="center" vertical="center"/>
    </xf>
    <xf numFmtId="0" fontId="187" fillId="37" borderId="15" xfId="0" applyFont="1" applyFill="1" applyBorder="1" applyAlignment="1">
      <alignment horizontal="center" vertical="center"/>
    </xf>
    <xf numFmtId="0" fontId="154" fillId="2" borderId="14" xfId="0" applyFont="1" applyFill="1" applyBorder="1" applyAlignment="1">
      <alignment horizontal="center" vertical="center"/>
    </xf>
    <xf numFmtId="0" fontId="154" fillId="2" borderId="15" xfId="0" applyFont="1" applyFill="1" applyBorder="1" applyAlignment="1">
      <alignment horizontal="center" vertical="center"/>
    </xf>
    <xf numFmtId="15" fontId="154" fillId="2" borderId="14" xfId="0" applyNumberFormat="1" applyFont="1" applyFill="1" applyBorder="1" applyAlignment="1">
      <alignment horizontal="center" vertical="center"/>
    </xf>
    <xf numFmtId="0" fontId="154" fillId="2" borderId="16" xfId="0" applyFont="1" applyFill="1" applyBorder="1" applyAlignment="1">
      <alignment horizontal="center" vertical="center"/>
    </xf>
    <xf numFmtId="0" fontId="173" fillId="0" borderId="0" xfId="0" applyFont="1" applyAlignment="1">
      <alignment horizontal="center"/>
    </xf>
    <xf numFmtId="15" fontId="187" fillId="6" borderId="14" xfId="0" applyNumberFormat="1" applyFont="1" applyFill="1" applyBorder="1" applyAlignment="1">
      <alignment horizontal="center" vertical="center"/>
    </xf>
    <xf numFmtId="15" fontId="187" fillId="6" borderId="16" xfId="0" applyNumberFormat="1" applyFont="1" applyFill="1" applyBorder="1" applyAlignment="1">
      <alignment horizontal="center" vertical="center"/>
    </xf>
    <xf numFmtId="15" fontId="187" fillId="6" borderId="15" xfId="0" applyNumberFormat="1" applyFont="1" applyFill="1" applyBorder="1" applyAlignment="1">
      <alignment horizontal="center" vertical="center"/>
    </xf>
    <xf numFmtId="165" fontId="172" fillId="0" borderId="3" xfId="1" applyFont="1" applyBorder="1" applyAlignment="1">
      <alignment horizontal="center" vertical="center"/>
    </xf>
    <xf numFmtId="165" fontId="172" fillId="0" borderId="3" xfId="1" applyFont="1" applyFill="1" applyBorder="1" applyAlignment="1">
      <alignment horizontal="center" vertical="center"/>
    </xf>
    <xf numFmtId="0" fontId="153" fillId="0" borderId="16" xfId="0" quotePrefix="1" applyFont="1" applyBorder="1" applyAlignment="1"/>
    <xf numFmtId="0" fontId="153" fillId="0" borderId="136" xfId="0" quotePrefix="1" applyFont="1" applyBorder="1" applyAlignment="1"/>
    <xf numFmtId="0" fontId="214" fillId="37" borderId="19" xfId="0" quotePrefix="1" applyFont="1" applyFill="1" applyBorder="1" applyAlignment="1"/>
    <xf numFmtId="0" fontId="214" fillId="37" borderId="16" xfId="0" quotePrefix="1" applyFont="1" applyFill="1" applyBorder="1" applyAlignment="1"/>
    <xf numFmtId="0" fontId="214" fillId="37" borderId="136" xfId="0" quotePrefix="1" applyFont="1" applyFill="1" applyBorder="1" applyAlignment="1"/>
    <xf numFmtId="0" fontId="172" fillId="0" borderId="15" xfId="0" applyFont="1" applyBorder="1" applyAlignment="1">
      <alignment vertical="center"/>
    </xf>
    <xf numFmtId="0" fontId="153" fillId="6" borderId="14" xfId="0" applyFont="1" applyFill="1" applyBorder="1" applyAlignment="1">
      <alignment horizontal="center" vertical="center"/>
    </xf>
    <xf numFmtId="0" fontId="153" fillId="6" borderId="15" xfId="0" applyFont="1" applyFill="1" applyBorder="1" applyAlignment="1">
      <alignment horizontal="center" vertical="center"/>
    </xf>
    <xf numFmtId="165" fontId="172" fillId="34" borderId="14" xfId="2" applyNumberFormat="1" applyFont="1" applyFill="1" applyBorder="1" applyAlignment="1">
      <alignment vertical="top" wrapText="1"/>
    </xf>
    <xf numFmtId="165" fontId="172" fillId="34" borderId="16" xfId="2" applyNumberFormat="1" applyFont="1" applyFill="1" applyBorder="1" applyAlignment="1">
      <alignment vertical="top" wrapText="1"/>
    </xf>
    <xf numFmtId="165" fontId="172" fillId="34" borderId="15" xfId="2" applyNumberFormat="1" applyFont="1" applyFill="1" applyBorder="1" applyAlignment="1">
      <alignment vertical="top" wrapText="1"/>
    </xf>
    <xf numFmtId="15" fontId="187" fillId="2" borderId="14" xfId="0" applyNumberFormat="1" applyFont="1" applyFill="1" applyBorder="1" applyAlignment="1">
      <alignment horizontal="center" vertical="center" wrapText="1"/>
    </xf>
    <xf numFmtId="15" fontId="187" fillId="2" borderId="16" xfId="0" applyNumberFormat="1" applyFont="1" applyFill="1" applyBorder="1" applyAlignment="1">
      <alignment horizontal="center" vertical="center" wrapText="1"/>
    </xf>
    <xf numFmtId="15" fontId="187" fillId="2" borderId="15" xfId="0" applyNumberFormat="1" applyFont="1" applyFill="1" applyBorder="1" applyAlignment="1">
      <alignment horizontal="center" vertical="center" wrapText="1"/>
    </xf>
    <xf numFmtId="165" fontId="172" fillId="0" borderId="3" xfId="0" applyNumberFormat="1" applyFont="1" applyFill="1" applyBorder="1" applyAlignment="1">
      <alignment horizontal="center" vertical="center"/>
    </xf>
    <xf numFmtId="165" fontId="172" fillId="0" borderId="3" xfId="1" applyFont="1" applyFill="1" applyBorder="1" applyAlignment="1">
      <alignment horizontal="center"/>
    </xf>
    <xf numFmtId="165" fontId="187" fillId="37" borderId="14" xfId="2" applyNumberFormat="1" applyFont="1" applyFill="1" applyBorder="1" applyAlignment="1">
      <alignment horizontal="center" vertical="center"/>
    </xf>
    <xf numFmtId="165" fontId="187" fillId="37" borderId="16" xfId="2" applyNumberFormat="1" applyFont="1" applyFill="1" applyBorder="1" applyAlignment="1">
      <alignment horizontal="center" vertical="center"/>
    </xf>
    <xf numFmtId="165" fontId="187" fillId="37" borderId="15" xfId="2" applyNumberFormat="1" applyFont="1" applyFill="1" applyBorder="1" applyAlignment="1">
      <alignment horizontal="center" vertical="center"/>
    </xf>
    <xf numFmtId="165" fontId="154" fillId="37" borderId="14" xfId="1" applyFont="1" applyFill="1" applyBorder="1" applyAlignment="1">
      <alignment vertical="center"/>
    </xf>
    <xf numFmtId="165" fontId="154" fillId="37" borderId="16" xfId="1" applyFont="1" applyFill="1" applyBorder="1" applyAlignment="1">
      <alignment vertical="center"/>
    </xf>
    <xf numFmtId="165" fontId="154" fillId="37" borderId="15" xfId="1" applyFont="1" applyFill="1" applyBorder="1" applyAlignment="1">
      <alignment vertical="center"/>
    </xf>
    <xf numFmtId="165" fontId="172" fillId="0" borderId="14" xfId="1" applyFont="1" applyFill="1" applyBorder="1" applyAlignment="1">
      <alignment horizontal="right" vertical="top"/>
    </xf>
    <xf numFmtId="165" fontId="172" fillId="0" borderId="16" xfId="1" applyFont="1" applyFill="1" applyBorder="1" applyAlignment="1">
      <alignment horizontal="right" vertical="top"/>
    </xf>
    <xf numFmtId="165" fontId="172" fillId="0" borderId="15" xfId="1" applyFont="1" applyFill="1" applyBorder="1" applyAlignment="1">
      <alignment horizontal="right" vertical="top"/>
    </xf>
    <xf numFmtId="0" fontId="172" fillId="0" borderId="14" xfId="1" applyNumberFormat="1" applyFont="1" applyFill="1" applyBorder="1" applyAlignment="1">
      <alignment horizontal="left" vertical="top" wrapText="1"/>
    </xf>
    <xf numFmtId="0" fontId="172" fillId="0" borderId="15" xfId="1" applyNumberFormat="1" applyFont="1" applyFill="1" applyBorder="1" applyAlignment="1">
      <alignment horizontal="left" vertical="top" wrapText="1"/>
    </xf>
    <xf numFmtId="169" fontId="190" fillId="6" borderId="14" xfId="0" applyNumberFormat="1" applyFont="1" applyFill="1" applyBorder="1" applyAlignment="1">
      <alignment horizontal="center" vertical="center"/>
    </xf>
    <xf numFmtId="169" fontId="190" fillId="6" borderId="16" xfId="0" applyNumberFormat="1" applyFont="1" applyFill="1" applyBorder="1" applyAlignment="1">
      <alignment horizontal="center" vertical="center"/>
    </xf>
    <xf numFmtId="169" fontId="190" fillId="6" borderId="15" xfId="0" applyNumberFormat="1" applyFont="1" applyFill="1" applyBorder="1" applyAlignment="1">
      <alignment horizontal="center" vertical="center"/>
    </xf>
    <xf numFmtId="0" fontId="153" fillId="0" borderId="14" xfId="0" applyFont="1" applyBorder="1" applyAlignment="1">
      <alignment horizontal="left" vertical="center" wrapText="1" shrinkToFit="1"/>
    </xf>
    <xf numFmtId="0" fontId="153" fillId="0" borderId="15" xfId="0" applyFont="1" applyBorder="1" applyAlignment="1">
      <alignment horizontal="left" vertical="center" wrapText="1" shrinkToFit="1"/>
    </xf>
    <xf numFmtId="165" fontId="153" fillId="34" borderId="14" xfId="1" applyFont="1" applyFill="1" applyBorder="1" applyAlignment="1">
      <alignment horizontal="center" vertical="center"/>
    </xf>
    <xf numFmtId="165" fontId="153" fillId="34" borderId="16" xfId="1" applyFont="1" applyFill="1" applyBorder="1" applyAlignment="1">
      <alignment horizontal="center" vertical="center"/>
    </xf>
    <xf numFmtId="165" fontId="153" fillId="34" borderId="15" xfId="1" applyFont="1" applyFill="1" applyBorder="1" applyAlignment="1">
      <alignment horizontal="center" vertical="center"/>
    </xf>
    <xf numFmtId="0" fontId="154" fillId="37" borderId="14" xfId="0" applyFont="1" applyFill="1" applyBorder="1" applyAlignment="1">
      <alignment horizontal="center"/>
    </xf>
    <xf numFmtId="0" fontId="154" fillId="37" borderId="15" xfId="0" applyFont="1" applyFill="1" applyBorder="1" applyAlignment="1">
      <alignment horizontal="center"/>
    </xf>
    <xf numFmtId="0" fontId="9" fillId="0" borderId="0" xfId="0" applyFont="1" applyBorder="1" applyAlignment="1">
      <alignment wrapText="1"/>
    </xf>
    <xf numFmtId="0" fontId="0" fillId="30" borderId="195" xfId="0" applyFill="1" applyBorder="1" applyAlignment="1">
      <alignment vertical="top" wrapText="1"/>
    </xf>
    <xf numFmtId="0" fontId="0" fillId="0" borderId="0" xfId="0" applyBorder="1" applyAlignment="1">
      <alignment vertical="top" wrapText="1"/>
    </xf>
    <xf numFmtId="164" fontId="187" fillId="37" borderId="3" xfId="0" applyNumberFormat="1" applyFont="1" applyFill="1" applyBorder="1" applyAlignment="1">
      <alignment horizontal="center"/>
    </xf>
    <xf numFmtId="165" fontId="172" fillId="0" borderId="133" xfId="1" applyFont="1" applyBorder="1" applyAlignment="1">
      <alignment horizontal="center"/>
    </xf>
    <xf numFmtId="15" fontId="187" fillId="6" borderId="14" xfId="0" applyNumberFormat="1" applyFont="1" applyFill="1" applyBorder="1" applyAlignment="1">
      <alignment horizontal="center" vertical="center" wrapText="1"/>
    </xf>
    <xf numFmtId="15" fontId="187" fillId="6" borderId="16" xfId="0" applyNumberFormat="1" applyFont="1" applyFill="1" applyBorder="1" applyAlignment="1">
      <alignment horizontal="center" vertical="center" wrapText="1"/>
    </xf>
    <xf numFmtId="15" fontId="187" fillId="6" borderId="15" xfId="0" applyNumberFormat="1" applyFont="1" applyFill="1" applyBorder="1" applyAlignment="1">
      <alignment horizontal="center" vertical="center" wrapText="1"/>
    </xf>
    <xf numFmtId="0" fontId="187" fillId="37" borderId="16" xfId="0" applyFont="1" applyFill="1" applyBorder="1" applyAlignment="1">
      <alignment horizontal="center" vertical="center"/>
    </xf>
    <xf numFmtId="165" fontId="153" fillId="37" borderId="3" xfId="0" applyNumberFormat="1" applyFont="1" applyFill="1" applyBorder="1" applyAlignment="1">
      <alignment horizontal="left"/>
    </xf>
    <xf numFmtId="165" fontId="153" fillId="0" borderId="3" xfId="0" applyNumberFormat="1" applyFont="1" applyBorder="1" applyAlignment="1">
      <alignment horizontal="left"/>
    </xf>
    <xf numFmtId="0" fontId="154" fillId="37" borderId="3" xfId="0" applyFont="1" applyFill="1" applyBorder="1" applyAlignment="1">
      <alignment horizontal="left" vertical="center"/>
    </xf>
    <xf numFmtId="0" fontId="172" fillId="0" borderId="19" xfId="0" applyFont="1" applyBorder="1" applyAlignment="1"/>
    <xf numFmtId="0" fontId="172" fillId="0" borderId="16" xfId="0" applyFont="1" applyBorder="1" applyAlignment="1"/>
    <xf numFmtId="0" fontId="172" fillId="0" borderId="136" xfId="0" applyFont="1" applyBorder="1" applyAlignment="1"/>
    <xf numFmtId="0" fontId="174" fillId="0" borderId="0" xfId="0" applyFont="1" applyFill="1" applyAlignment="1">
      <alignment horizontal="left" vertical="top" wrapText="1"/>
    </xf>
    <xf numFmtId="0" fontId="0" fillId="0" borderId="124" xfId="0" applyBorder="1" applyAlignment="1">
      <alignment vertical="top" wrapText="1"/>
    </xf>
    <xf numFmtId="0" fontId="0" fillId="0" borderId="0" xfId="0" applyAlignment="1">
      <alignment vertical="top" wrapText="1"/>
    </xf>
    <xf numFmtId="0" fontId="0" fillId="0" borderId="125" xfId="0" applyBorder="1" applyAlignment="1">
      <alignment vertical="top" wrapText="1"/>
    </xf>
    <xf numFmtId="0" fontId="0" fillId="0" borderId="126" xfId="0" applyBorder="1" applyAlignment="1">
      <alignment vertical="top" wrapText="1"/>
    </xf>
    <xf numFmtId="0" fontId="0" fillId="0" borderId="127" xfId="0" applyBorder="1" applyAlignment="1">
      <alignment vertical="top" wrapText="1"/>
    </xf>
    <xf numFmtId="0" fontId="0" fillId="0" borderId="128" xfId="0" applyBorder="1" applyAlignment="1">
      <alignment vertical="top" wrapText="1"/>
    </xf>
    <xf numFmtId="0" fontId="154" fillId="2" borderId="14" xfId="0" applyFont="1" applyFill="1" applyBorder="1" applyAlignment="1">
      <alignment horizontal="left"/>
    </xf>
    <xf numFmtId="0" fontId="154" fillId="2" borderId="16" xfId="0" applyFont="1" applyFill="1" applyBorder="1" applyAlignment="1">
      <alignment horizontal="left"/>
    </xf>
    <xf numFmtId="0" fontId="154" fillId="2" borderId="15" xfId="0" applyFont="1" applyFill="1" applyBorder="1" applyAlignment="1">
      <alignment horizontal="left"/>
    </xf>
    <xf numFmtId="0" fontId="212" fillId="0" borderId="0" xfId="0" applyFont="1" applyBorder="1" applyAlignment="1">
      <alignment wrapText="1"/>
    </xf>
    <xf numFmtId="165" fontId="172" fillId="0" borderId="14" xfId="2" applyNumberFormat="1" applyFont="1" applyFill="1" applyBorder="1" applyAlignment="1">
      <alignment horizontal="center"/>
    </xf>
    <xf numFmtId="165" fontId="172" fillId="0" borderId="16" xfId="2" applyNumberFormat="1" applyFont="1" applyFill="1" applyBorder="1" applyAlignment="1">
      <alignment horizontal="center"/>
    </xf>
    <xf numFmtId="165" fontId="172" fillId="0" borderId="15" xfId="2" applyNumberFormat="1" applyFont="1" applyFill="1" applyBorder="1" applyAlignment="1">
      <alignment horizontal="center"/>
    </xf>
    <xf numFmtId="0" fontId="197" fillId="0" borderId="0" xfId="0" applyFont="1" applyFill="1" applyBorder="1" applyAlignment="1">
      <alignment horizontal="center" vertical="center"/>
    </xf>
    <xf numFmtId="0" fontId="214" fillId="37" borderId="20" xfId="0" quotePrefix="1" applyFont="1" applyFill="1" applyBorder="1" applyAlignment="1"/>
    <xf numFmtId="0" fontId="214" fillId="37" borderId="21" xfId="0" quotePrefix="1" applyFont="1" applyFill="1" applyBorder="1" applyAlignment="1"/>
    <xf numFmtId="0" fontId="214" fillId="37" borderId="137" xfId="0" quotePrefix="1" applyFont="1" applyFill="1" applyBorder="1" applyAlignment="1"/>
    <xf numFmtId="0" fontId="60" fillId="16" borderId="0" xfId="0" applyFont="1" applyFill="1" applyBorder="1" applyAlignment="1">
      <alignment horizontal="center" vertical="top" wrapText="1"/>
    </xf>
    <xf numFmtId="0" fontId="153" fillId="0" borderId="19" xfId="0" applyFont="1" applyBorder="1" applyAlignment="1"/>
    <xf numFmtId="0" fontId="153" fillId="0" borderId="16" xfId="0" applyFont="1" applyBorder="1" applyAlignment="1"/>
    <xf numFmtId="0" fontId="153" fillId="0" borderId="136" xfId="0" applyFont="1" applyBorder="1" applyAlignment="1"/>
    <xf numFmtId="0" fontId="190" fillId="0" borderId="17" xfId="0" applyFont="1" applyBorder="1" applyAlignment="1"/>
    <xf numFmtId="0" fontId="190" fillId="0" borderId="18" xfId="0" applyFont="1" applyBorder="1" applyAlignment="1"/>
    <xf numFmtId="0" fontId="190" fillId="0" borderId="135" xfId="0" applyFont="1" applyBorder="1" applyAlignment="1"/>
    <xf numFmtId="0" fontId="187" fillId="33" borderId="4" xfId="0" applyFont="1" applyFill="1" applyBorder="1" applyAlignment="1">
      <alignment horizontal="center" vertical="center"/>
    </xf>
    <xf numFmtId="0" fontId="187" fillId="33" borderId="6" xfId="0" applyFont="1" applyFill="1" applyBorder="1" applyAlignment="1">
      <alignment horizontal="center" vertical="center"/>
    </xf>
    <xf numFmtId="165" fontId="154" fillId="33" borderId="4" xfId="1" applyFont="1" applyFill="1" applyBorder="1" applyAlignment="1">
      <alignment horizontal="right" vertical="center"/>
    </xf>
    <xf numFmtId="165" fontId="154" fillId="33" borderId="5" xfId="1" applyFont="1" applyFill="1" applyBorder="1" applyAlignment="1">
      <alignment horizontal="right" vertical="center"/>
    </xf>
    <xf numFmtId="0" fontId="77" fillId="0" borderId="129" xfId="0" applyFont="1" applyBorder="1" applyAlignment="1">
      <alignment vertical="top" wrapText="1"/>
    </xf>
    <xf numFmtId="0" fontId="77" fillId="0" borderId="130" xfId="0" applyFont="1" applyBorder="1" applyAlignment="1">
      <alignment vertical="top" wrapText="1"/>
    </xf>
    <xf numFmtId="0" fontId="77" fillId="0" borderId="131" xfId="0" applyFont="1" applyBorder="1" applyAlignment="1">
      <alignment vertical="top" wrapText="1"/>
    </xf>
    <xf numFmtId="0" fontId="77" fillId="0" borderId="129" xfId="0" applyFont="1" applyBorder="1" applyAlignment="1">
      <alignment vertical="top"/>
    </xf>
    <xf numFmtId="0" fontId="77" fillId="0" borderId="130" xfId="0" applyFont="1" applyBorder="1" applyAlignment="1">
      <alignment vertical="top"/>
    </xf>
    <xf numFmtId="0" fontId="77" fillId="0" borderId="131" xfId="0" applyFont="1" applyBorder="1" applyAlignment="1">
      <alignment vertical="top"/>
    </xf>
    <xf numFmtId="0" fontId="77" fillId="16" borderId="121" xfId="0" applyFont="1" applyFill="1" applyBorder="1" applyAlignment="1">
      <alignment vertical="top" wrapText="1"/>
    </xf>
    <xf numFmtId="0" fontId="77" fillId="0" borderId="122" xfId="0" applyFont="1" applyBorder="1" applyAlignment="1">
      <alignment vertical="top" wrapText="1"/>
    </xf>
    <xf numFmtId="0" fontId="77" fillId="0" borderId="123" xfId="0" applyFont="1" applyBorder="1" applyAlignment="1">
      <alignment vertical="top" wrapText="1"/>
    </xf>
    <xf numFmtId="0" fontId="77" fillId="0" borderId="124" xfId="0" applyFont="1" applyBorder="1" applyAlignment="1">
      <alignment vertical="top" wrapText="1"/>
    </xf>
    <xf numFmtId="0" fontId="77" fillId="0" borderId="0" xfId="0" applyFont="1" applyAlignment="1">
      <alignment vertical="top" wrapText="1"/>
    </xf>
    <xf numFmtId="0" fontId="77" fillId="0" borderId="125" xfId="0" applyFont="1" applyBorder="1" applyAlignment="1">
      <alignment vertical="top" wrapText="1"/>
    </xf>
    <xf numFmtId="0" fontId="77" fillId="0" borderId="126" xfId="0" applyFont="1" applyBorder="1" applyAlignment="1">
      <alignment vertical="top" wrapText="1"/>
    </xf>
    <xf numFmtId="0" fontId="77" fillId="0" borderId="127" xfId="0" applyFont="1" applyBorder="1" applyAlignment="1">
      <alignment vertical="top" wrapText="1"/>
    </xf>
    <xf numFmtId="0" fontId="77" fillId="0" borderId="128" xfId="0" applyFont="1" applyBorder="1" applyAlignment="1">
      <alignment vertical="top" wrapText="1"/>
    </xf>
    <xf numFmtId="37" fontId="153" fillId="9" borderId="14" xfId="0" applyNumberFormat="1" applyFont="1" applyFill="1" applyBorder="1" applyAlignment="1">
      <alignment horizontal="left" vertical="top"/>
    </xf>
    <xf numFmtId="37" fontId="153" fillId="9" borderId="15" xfId="0" applyNumberFormat="1" applyFont="1" applyFill="1" applyBorder="1" applyAlignment="1">
      <alignment horizontal="left" vertical="top"/>
    </xf>
    <xf numFmtId="37" fontId="153" fillId="34" borderId="14" xfId="0" applyNumberFormat="1" applyFont="1" applyFill="1" applyBorder="1" applyAlignment="1">
      <alignment horizontal="center" vertical="top"/>
    </xf>
    <xf numFmtId="37" fontId="153" fillId="34" borderId="15" xfId="0" applyNumberFormat="1" applyFont="1" applyFill="1" applyBorder="1" applyAlignment="1">
      <alignment horizontal="center" vertical="top"/>
    </xf>
    <xf numFmtId="0" fontId="157" fillId="33" borderId="3" xfId="0" applyFont="1" applyFill="1" applyBorder="1" applyAlignment="1">
      <alignment horizontal="left" vertical="center"/>
    </xf>
    <xf numFmtId="0" fontId="185" fillId="0" borderId="0" xfId="0" applyNumberFormat="1" applyFont="1" applyFill="1" applyAlignment="1">
      <alignment horizontal="left" vertical="top"/>
    </xf>
    <xf numFmtId="0" fontId="0" fillId="0" borderId="130" xfId="0" applyBorder="1" applyAlignment="1">
      <alignment vertical="top" wrapText="1"/>
    </xf>
    <xf numFmtId="0" fontId="0" fillId="0" borderId="131" xfId="0" applyBorder="1" applyAlignment="1">
      <alignment vertical="top" wrapText="1"/>
    </xf>
    <xf numFmtId="0" fontId="0" fillId="0" borderId="130" xfId="0" applyBorder="1" applyAlignment="1">
      <alignment vertical="top"/>
    </xf>
    <xf numFmtId="0" fontId="0" fillId="0" borderId="131" xfId="0" applyBorder="1" applyAlignment="1">
      <alignment vertical="top"/>
    </xf>
    <xf numFmtId="0" fontId="153" fillId="0" borderId="14" xfId="0" applyFont="1" applyFill="1" applyBorder="1" applyAlignment="1">
      <alignment horizontal="left" vertical="center"/>
    </xf>
    <xf numFmtId="0" fontId="153" fillId="0" borderId="16" xfId="0" applyFont="1" applyFill="1" applyBorder="1" applyAlignment="1">
      <alignment horizontal="left" vertical="center"/>
    </xf>
    <xf numFmtId="0" fontId="153" fillId="0" borderId="15" xfId="0" applyFont="1" applyFill="1" applyBorder="1" applyAlignment="1">
      <alignment horizontal="left" vertical="center"/>
    </xf>
    <xf numFmtId="165" fontId="153" fillId="0" borderId="14" xfId="0" applyNumberFormat="1" applyFont="1" applyBorder="1" applyAlignment="1">
      <alignment horizontal="center" vertical="center"/>
    </xf>
    <xf numFmtId="165" fontId="153" fillId="0" borderId="16" xfId="0" applyNumberFormat="1" applyFont="1" applyBorder="1" applyAlignment="1">
      <alignment horizontal="center" vertical="center"/>
    </xf>
    <xf numFmtId="165" fontId="153" fillId="0" borderId="15" xfId="0" applyNumberFormat="1" applyFont="1" applyBorder="1" applyAlignment="1">
      <alignment horizontal="center" vertical="center"/>
    </xf>
    <xf numFmtId="165" fontId="153" fillId="37" borderId="3" xfId="0" applyNumberFormat="1" applyFont="1" applyFill="1" applyBorder="1" applyAlignment="1">
      <alignment horizontal="left" vertical="center"/>
    </xf>
    <xf numFmtId="0" fontId="153" fillId="0" borderId="0" xfId="0" applyFont="1" applyAlignment="1">
      <alignment horizontal="center"/>
    </xf>
    <xf numFmtId="0" fontId="154" fillId="37" borderId="14" xfId="0" applyFont="1" applyFill="1" applyBorder="1" applyAlignment="1">
      <alignment horizontal="left" vertical="center"/>
    </xf>
    <xf numFmtId="0" fontId="154" fillId="37" borderId="16" xfId="0" applyFont="1" applyFill="1" applyBorder="1" applyAlignment="1">
      <alignment horizontal="left" vertical="center"/>
    </xf>
    <xf numFmtId="0" fontId="154" fillId="37" borderId="15" xfId="0" applyFont="1" applyFill="1" applyBorder="1" applyAlignment="1">
      <alignment horizontal="left" vertical="center"/>
    </xf>
    <xf numFmtId="165" fontId="153" fillId="37" borderId="14" xfId="0" applyNumberFormat="1" applyFont="1" applyFill="1" applyBorder="1" applyAlignment="1">
      <alignment horizontal="center" vertical="center"/>
    </xf>
    <xf numFmtId="165" fontId="153" fillId="37" borderId="16" xfId="0" applyNumberFormat="1" applyFont="1" applyFill="1" applyBorder="1" applyAlignment="1">
      <alignment horizontal="center" vertical="center"/>
    </xf>
    <xf numFmtId="165" fontId="153" fillId="37" borderId="15" xfId="0" applyNumberFormat="1" applyFont="1" applyFill="1" applyBorder="1" applyAlignment="1">
      <alignment horizontal="center" vertical="center"/>
    </xf>
    <xf numFmtId="165" fontId="187" fillId="33" borderId="14" xfId="1" applyFont="1" applyFill="1" applyBorder="1" applyAlignment="1">
      <alignment horizontal="right"/>
    </xf>
    <xf numFmtId="165" fontId="187" fillId="33" borderId="16" xfId="1" applyFont="1" applyFill="1" applyBorder="1" applyAlignment="1">
      <alignment horizontal="right"/>
    </xf>
    <xf numFmtId="165" fontId="187" fillId="33" borderId="15" xfId="1" applyFont="1" applyFill="1" applyBorder="1" applyAlignment="1">
      <alignment horizontal="right"/>
    </xf>
    <xf numFmtId="0" fontId="187" fillId="6" borderId="14" xfId="0" applyFont="1" applyFill="1" applyBorder="1" applyAlignment="1">
      <alignment horizontal="center" vertical="center"/>
    </xf>
    <xf numFmtId="0" fontId="187" fillId="6" borderId="15" xfId="0" applyFont="1" applyFill="1" applyBorder="1" applyAlignment="1">
      <alignment horizontal="center" vertical="center"/>
    </xf>
    <xf numFmtId="0" fontId="188" fillId="0" borderId="142" xfId="0" applyFont="1" applyBorder="1" applyAlignment="1"/>
    <xf numFmtId="0" fontId="188" fillId="0" borderId="143" xfId="0" quotePrefix="1" applyFont="1" applyBorder="1" applyAlignment="1"/>
    <xf numFmtId="0" fontId="188" fillId="0" borderId="144" xfId="0" quotePrefix="1" applyFont="1" applyBorder="1" applyAlignment="1"/>
    <xf numFmtId="0" fontId="190" fillId="33" borderId="20" xfId="0" quotePrefix="1" applyFont="1" applyFill="1" applyBorder="1" applyAlignment="1"/>
    <xf numFmtId="0" fontId="190" fillId="33" borderId="21" xfId="0" quotePrefix="1" applyFont="1" applyFill="1" applyBorder="1" applyAlignment="1"/>
    <xf numFmtId="0" fontId="190" fillId="33" borderId="137" xfId="0" quotePrefix="1" applyFont="1" applyFill="1" applyBorder="1" applyAlignment="1"/>
    <xf numFmtId="0" fontId="190" fillId="33" borderId="19" xfId="0" quotePrefix="1" applyFont="1" applyFill="1" applyBorder="1" applyAlignment="1"/>
    <xf numFmtId="0" fontId="190" fillId="33" borderId="16" xfId="0" quotePrefix="1" applyFont="1" applyFill="1" applyBorder="1" applyAlignment="1"/>
    <xf numFmtId="0" fontId="190" fillId="33" borderId="136" xfId="0" quotePrefix="1" applyFont="1" applyFill="1" applyBorder="1" applyAlignment="1"/>
    <xf numFmtId="169" fontId="187" fillId="6" borderId="14" xfId="0" applyNumberFormat="1" applyFont="1" applyFill="1" applyBorder="1" applyAlignment="1">
      <alignment horizontal="center" vertical="center"/>
    </xf>
    <xf numFmtId="169" fontId="187" fillId="6" borderId="16" xfId="0" applyNumberFormat="1" applyFont="1" applyFill="1" applyBorder="1" applyAlignment="1">
      <alignment horizontal="center" vertical="center"/>
    </xf>
    <xf numFmtId="169" fontId="187" fillId="6" borderId="15" xfId="0" applyNumberFormat="1" applyFont="1" applyFill="1" applyBorder="1" applyAlignment="1">
      <alignment horizontal="center" vertical="center"/>
    </xf>
    <xf numFmtId="165" fontId="154" fillId="37" borderId="14" xfId="1" applyFont="1" applyFill="1" applyBorder="1" applyAlignment="1">
      <alignment horizontal="center" vertical="center"/>
    </xf>
    <xf numFmtId="165" fontId="154" fillId="37" borderId="16" xfId="1" applyFont="1" applyFill="1" applyBorder="1" applyAlignment="1">
      <alignment horizontal="center" vertical="center"/>
    </xf>
    <xf numFmtId="165" fontId="154" fillId="37" borderId="15" xfId="1" applyFont="1" applyFill="1" applyBorder="1" applyAlignment="1">
      <alignment horizontal="center" vertical="center"/>
    </xf>
    <xf numFmtId="0" fontId="214" fillId="0" borderId="17" xfId="0" applyFont="1" applyBorder="1" applyAlignment="1"/>
    <xf numFmtId="0" fontId="214" fillId="0" borderId="18" xfId="0" applyFont="1" applyBorder="1" applyAlignment="1"/>
    <xf numFmtId="0" fontId="214" fillId="0" borderId="135" xfId="0" applyFont="1" applyBorder="1" applyAlignment="1"/>
    <xf numFmtId="165" fontId="187" fillId="0" borderId="3" xfId="0" applyNumberFormat="1" applyFont="1" applyFill="1" applyBorder="1" applyAlignment="1">
      <alignment horizontal="center" vertical="center"/>
    </xf>
    <xf numFmtId="0" fontId="209" fillId="0" borderId="0" xfId="0" applyFont="1" applyBorder="1" applyAlignment="1">
      <alignment horizontal="left" vertical="top" wrapText="1"/>
    </xf>
    <xf numFmtId="0" fontId="153" fillId="0" borderId="0" xfId="0" applyFont="1" applyBorder="1" applyAlignment="1">
      <alignment horizontal="justify" vertical="top" wrapText="1"/>
    </xf>
    <xf numFmtId="0" fontId="209" fillId="0" borderId="0" xfId="0" applyFont="1" applyFill="1" applyAlignment="1">
      <alignment vertical="top" wrapText="1"/>
    </xf>
    <xf numFmtId="0" fontId="154" fillId="37" borderId="14" xfId="0" applyFont="1" applyFill="1" applyBorder="1" applyAlignment="1">
      <alignment horizontal="left"/>
    </xf>
    <xf numFmtId="0" fontId="154" fillId="37" borderId="16" xfId="0" applyFont="1" applyFill="1" applyBorder="1" applyAlignment="1">
      <alignment horizontal="left"/>
    </xf>
    <xf numFmtId="0" fontId="154" fillId="37" borderId="15" xfId="0" applyFont="1" applyFill="1" applyBorder="1" applyAlignment="1">
      <alignment horizontal="left"/>
    </xf>
    <xf numFmtId="0" fontId="153" fillId="0" borderId="8" xfId="0" applyFont="1" applyBorder="1" applyAlignment="1">
      <alignment horizontal="justify" vertical="top"/>
    </xf>
    <xf numFmtId="165" fontId="187" fillId="37" borderId="14" xfId="0" applyNumberFormat="1" applyFont="1" applyFill="1" applyBorder="1" applyAlignment="1">
      <alignment horizontal="center" vertical="center"/>
    </xf>
    <xf numFmtId="165" fontId="187" fillId="37" borderId="16" xfId="0" applyNumberFormat="1" applyFont="1" applyFill="1" applyBorder="1" applyAlignment="1">
      <alignment horizontal="center" vertical="center"/>
    </xf>
    <xf numFmtId="165" fontId="187" fillId="37" borderId="15" xfId="0" applyNumberFormat="1" applyFont="1" applyFill="1" applyBorder="1" applyAlignment="1">
      <alignment horizontal="center" vertical="center"/>
    </xf>
    <xf numFmtId="15" fontId="153" fillId="6" borderId="14" xfId="0" applyNumberFormat="1" applyFont="1" applyFill="1" applyBorder="1" applyAlignment="1">
      <alignment horizontal="center" vertical="center"/>
    </xf>
    <xf numFmtId="15" fontId="153" fillId="6" borderId="16" xfId="0" applyNumberFormat="1" applyFont="1" applyFill="1" applyBorder="1" applyAlignment="1">
      <alignment horizontal="center" vertical="center"/>
    </xf>
    <xf numFmtId="15" fontId="153" fillId="6" borderId="15" xfId="0" applyNumberFormat="1" applyFont="1" applyFill="1" applyBorder="1" applyAlignment="1">
      <alignment horizontal="center" vertical="center"/>
    </xf>
    <xf numFmtId="0" fontId="172" fillId="0" borderId="14" xfId="0" applyFont="1" applyFill="1" applyBorder="1" applyAlignment="1">
      <alignment horizontal="left" vertical="top" wrapText="1"/>
    </xf>
    <xf numFmtId="0" fontId="172" fillId="0" borderId="15" xfId="0" applyFont="1" applyFill="1" applyBorder="1" applyAlignment="1">
      <alignment horizontal="left" vertical="top" wrapText="1"/>
    </xf>
    <xf numFmtId="0" fontId="154" fillId="6" borderId="14" xfId="0" applyFont="1" applyFill="1" applyBorder="1" applyAlignment="1">
      <alignment horizontal="center" vertical="center"/>
    </xf>
    <xf numFmtId="0" fontId="154" fillId="6" borderId="15" xfId="0" applyFont="1" applyFill="1" applyBorder="1" applyAlignment="1">
      <alignment horizontal="center" vertical="center"/>
    </xf>
    <xf numFmtId="0" fontId="172" fillId="0" borderId="14" xfId="0" applyFont="1" applyFill="1" applyBorder="1" applyAlignment="1">
      <alignment vertical="center"/>
    </xf>
    <xf numFmtId="0" fontId="172" fillId="0" borderId="15" xfId="0" applyFont="1" applyFill="1" applyBorder="1" applyAlignment="1">
      <alignment vertical="center"/>
    </xf>
    <xf numFmtId="165" fontId="187" fillId="37" borderId="3" xfId="1" applyFont="1" applyFill="1" applyBorder="1" applyAlignment="1">
      <alignment horizontal="center"/>
    </xf>
    <xf numFmtId="0" fontId="153" fillId="0" borderId="0" xfId="0" applyFont="1" applyAlignment="1">
      <alignment horizontal="left" wrapText="1"/>
    </xf>
    <xf numFmtId="0" fontId="154" fillId="37" borderId="3" xfId="0" applyFont="1" applyFill="1" applyBorder="1" applyAlignment="1">
      <alignment horizontal="center" wrapText="1"/>
    </xf>
    <xf numFmtId="0" fontId="154" fillId="37" borderId="14" xfId="0" applyFont="1" applyFill="1" applyBorder="1" applyAlignment="1">
      <alignment horizontal="center" vertical="center"/>
    </xf>
    <xf numFmtId="0" fontId="154" fillId="37" borderId="16" xfId="0" applyFont="1" applyFill="1" applyBorder="1" applyAlignment="1">
      <alignment horizontal="center" vertical="center"/>
    </xf>
    <xf numFmtId="0" fontId="153" fillId="0" borderId="0" xfId="0" applyNumberFormat="1" applyFont="1" applyAlignment="1">
      <alignment horizontal="justify" vertical="top" wrapText="1"/>
    </xf>
    <xf numFmtId="0" fontId="0" fillId="0" borderId="0" xfId="0" applyNumberFormat="1" applyFont="1" applyAlignment="1">
      <alignment horizontal="justify" vertical="top" wrapText="1"/>
    </xf>
    <xf numFmtId="0" fontId="154" fillId="33" borderId="14" xfId="0" applyFont="1" applyFill="1" applyBorder="1" applyAlignment="1">
      <alignment horizontal="center"/>
    </xf>
    <xf numFmtId="0" fontId="154" fillId="33" borderId="15" xfId="0" applyFont="1" applyFill="1" applyBorder="1" applyAlignment="1">
      <alignment horizontal="center"/>
    </xf>
    <xf numFmtId="0" fontId="215" fillId="0" borderId="142" xfId="0" quotePrefix="1" applyFont="1" applyBorder="1" applyAlignment="1"/>
    <xf numFmtId="0" fontId="215" fillId="0" borderId="143" xfId="0" quotePrefix="1" applyFont="1" applyBorder="1" applyAlignment="1"/>
    <xf numFmtId="0" fontId="215" fillId="0" borderId="144" xfId="0" quotePrefix="1" applyFont="1" applyBorder="1" applyAlignment="1"/>
    <xf numFmtId="0" fontId="153" fillId="0" borderId="0" xfId="0" applyNumberFormat="1" applyFont="1" applyFill="1" applyAlignment="1">
      <alignment horizontal="justify" vertical="top"/>
    </xf>
    <xf numFmtId="0" fontId="0" fillId="0" borderId="0" xfId="0" applyNumberFormat="1" applyFont="1" applyFill="1" applyAlignment="1">
      <alignment horizontal="justify" vertical="top"/>
    </xf>
    <xf numFmtId="0" fontId="192" fillId="0" borderId="0" xfId="0" applyFont="1" applyFill="1" applyAlignment="1">
      <alignment horizontal="justify" vertical="top" wrapText="1"/>
    </xf>
    <xf numFmtId="0" fontId="187" fillId="33" borderId="16" xfId="0" applyFont="1" applyFill="1" applyBorder="1" applyAlignment="1">
      <alignment horizontal="center" vertical="center"/>
    </xf>
    <xf numFmtId="0" fontId="172" fillId="0" borderId="5" xfId="0" applyFont="1" applyFill="1" applyBorder="1" applyAlignment="1">
      <alignment horizontal="left" vertical="center" wrapText="1"/>
    </xf>
    <xf numFmtId="0" fontId="187" fillId="0" borderId="5" xfId="0" applyFont="1" applyFill="1" applyBorder="1" applyAlignment="1">
      <alignment horizontal="left" vertical="center" wrapText="1"/>
    </xf>
    <xf numFmtId="0" fontId="154" fillId="6" borderId="3" xfId="0" applyFont="1" applyFill="1" applyBorder="1" applyAlignment="1">
      <alignment horizontal="center" vertical="center" wrapText="1"/>
    </xf>
    <xf numFmtId="3" fontId="153" fillId="34" borderId="3" xfId="0" applyNumberFormat="1" applyFont="1" applyFill="1" applyBorder="1" applyAlignment="1">
      <alignment horizontal="center" vertical="center"/>
    </xf>
    <xf numFmtId="3" fontId="187" fillId="33" borderId="3" xfId="2" applyNumberFormat="1" applyFont="1" applyFill="1" applyBorder="1" applyAlignment="1">
      <alignment horizontal="center" vertical="center"/>
    </xf>
    <xf numFmtId="0" fontId="154" fillId="6" borderId="16" xfId="0" applyFont="1" applyFill="1" applyBorder="1" applyAlignment="1">
      <alignment horizontal="center" vertical="center"/>
    </xf>
    <xf numFmtId="0" fontId="188" fillId="34" borderId="14" xfId="0" applyFont="1" applyFill="1" applyBorder="1" applyAlignment="1">
      <alignment horizontal="left" vertical="center"/>
    </xf>
    <xf numFmtId="0" fontId="188" fillId="34" borderId="16" xfId="0" applyFont="1" applyFill="1" applyBorder="1" applyAlignment="1">
      <alignment horizontal="left" vertical="center"/>
    </xf>
    <xf numFmtId="0" fontId="188" fillId="34" borderId="15" xfId="0" applyFont="1" applyFill="1" applyBorder="1" applyAlignment="1">
      <alignment horizontal="left" vertical="center"/>
    </xf>
    <xf numFmtId="0" fontId="153" fillId="0" borderId="0" xfId="0" applyFont="1" applyBorder="1" applyAlignment="1">
      <alignment horizontal="left" vertical="top" wrapText="1"/>
    </xf>
    <xf numFmtId="165" fontId="172" fillId="26" borderId="14" xfId="1" applyFont="1" applyFill="1" applyBorder="1" applyAlignment="1">
      <alignment horizontal="right" vertical="center"/>
    </xf>
    <xf numFmtId="165" fontId="172" fillId="26" borderId="16" xfId="1" applyFont="1" applyFill="1" applyBorder="1" applyAlignment="1">
      <alignment horizontal="right" vertical="center"/>
    </xf>
    <xf numFmtId="165" fontId="172" fillId="40" borderId="14" xfId="1" applyFont="1" applyFill="1" applyBorder="1" applyAlignment="1">
      <alignment horizontal="right" vertical="center"/>
    </xf>
    <xf numFmtId="165" fontId="172" fillId="40" borderId="15" xfId="1" applyFont="1" applyFill="1" applyBorder="1" applyAlignment="1">
      <alignment horizontal="right" vertical="center"/>
    </xf>
    <xf numFmtId="165" fontId="187" fillId="33" borderId="14" xfId="1" applyFont="1" applyFill="1" applyBorder="1" applyAlignment="1">
      <alignment horizontal="right" vertical="center"/>
    </xf>
    <xf numFmtId="165" fontId="187" fillId="33" borderId="16" xfId="1" applyFont="1" applyFill="1" applyBorder="1" applyAlignment="1">
      <alignment horizontal="right" vertical="center"/>
    </xf>
    <xf numFmtId="165" fontId="187" fillId="33" borderId="15" xfId="1" applyFont="1" applyFill="1" applyBorder="1" applyAlignment="1">
      <alignment horizontal="right" vertical="center"/>
    </xf>
    <xf numFmtId="0" fontId="172" fillId="0" borderId="14" xfId="0" applyFont="1" applyFill="1" applyBorder="1" applyAlignment="1">
      <alignment vertical="top" wrapText="1"/>
    </xf>
    <xf numFmtId="0" fontId="172" fillId="0" borderId="15" xfId="0" applyFont="1" applyFill="1" applyBorder="1" applyAlignment="1">
      <alignment vertical="top" wrapText="1"/>
    </xf>
    <xf numFmtId="165" fontId="172" fillId="26" borderId="14" xfId="1" applyFont="1" applyFill="1" applyBorder="1" applyAlignment="1">
      <alignment horizontal="right" vertical="top"/>
    </xf>
    <xf numFmtId="165" fontId="172" fillId="26" borderId="15" xfId="1" applyFont="1" applyFill="1" applyBorder="1" applyAlignment="1">
      <alignment horizontal="right" vertical="top"/>
    </xf>
    <xf numFmtId="10" fontId="172" fillId="40" borderId="14" xfId="1" applyNumberFormat="1" applyFont="1" applyFill="1" applyBorder="1" applyAlignment="1">
      <alignment horizontal="right" vertical="top"/>
    </xf>
    <xf numFmtId="10" fontId="172" fillId="40" borderId="15" xfId="1" applyNumberFormat="1" applyFont="1" applyFill="1" applyBorder="1" applyAlignment="1">
      <alignment horizontal="right" vertical="top"/>
    </xf>
    <xf numFmtId="0" fontId="173" fillId="0" borderId="8" xfId="0" applyFont="1" applyBorder="1" applyAlignment="1">
      <alignment horizontal="center" vertical="top"/>
    </xf>
    <xf numFmtId="0" fontId="172" fillId="0" borderId="14" xfId="0" applyFont="1" applyFill="1" applyBorder="1" applyAlignment="1">
      <alignment vertical="top"/>
    </xf>
    <xf numFmtId="0" fontId="172" fillId="0" borderId="15" xfId="0" applyFont="1" applyFill="1" applyBorder="1" applyAlignment="1">
      <alignment vertical="top"/>
    </xf>
    <xf numFmtId="0" fontId="187" fillId="33" borderId="14" xfId="0" applyFont="1" applyFill="1" applyBorder="1" applyAlignment="1">
      <alignment horizontal="left" vertical="center"/>
    </xf>
    <xf numFmtId="0" fontId="187" fillId="33" borderId="15" xfId="0" applyFont="1" applyFill="1" applyBorder="1" applyAlignment="1">
      <alignment horizontal="left" vertical="center"/>
    </xf>
    <xf numFmtId="10" fontId="187" fillId="33" borderId="14" xfId="1" applyNumberFormat="1" applyFont="1" applyFill="1" applyBorder="1" applyAlignment="1">
      <alignment horizontal="right" vertical="center"/>
    </xf>
    <xf numFmtId="10" fontId="187" fillId="33" borderId="15" xfId="1" applyNumberFormat="1" applyFont="1" applyFill="1" applyBorder="1" applyAlignment="1">
      <alignment horizontal="right" vertical="center"/>
    </xf>
    <xf numFmtId="165" fontId="190" fillId="33" borderId="14" xfId="1" applyFont="1" applyFill="1" applyBorder="1" applyAlignment="1">
      <alignment horizontal="right" vertical="center"/>
    </xf>
    <xf numFmtId="165" fontId="190" fillId="33" borderId="16" xfId="1" applyFont="1" applyFill="1" applyBorder="1" applyAlignment="1">
      <alignment horizontal="right" vertical="center"/>
    </xf>
    <xf numFmtId="165" fontId="190" fillId="33" borderId="15" xfId="1" applyFont="1" applyFill="1" applyBorder="1" applyAlignment="1">
      <alignment horizontal="right" vertical="center"/>
    </xf>
    <xf numFmtId="165" fontId="172" fillId="26" borderId="16" xfId="1" applyFont="1" applyFill="1" applyBorder="1" applyAlignment="1">
      <alignment horizontal="right" vertical="top"/>
    </xf>
    <xf numFmtId="165" fontId="172" fillId="26" borderId="14" xfId="1" applyFont="1" applyFill="1" applyBorder="1" applyAlignment="1">
      <alignment horizontal="center" vertical="top"/>
    </xf>
    <xf numFmtId="165" fontId="172" fillId="26" borderId="15" xfId="1" applyFont="1" applyFill="1" applyBorder="1" applyAlignment="1">
      <alignment horizontal="center" vertical="top"/>
    </xf>
    <xf numFmtId="0" fontId="188" fillId="0" borderId="14" xfId="0" applyFont="1" applyFill="1" applyBorder="1" applyAlignment="1">
      <alignment vertical="center"/>
    </xf>
    <xf numFmtId="0" fontId="188" fillId="0" borderId="15" xfId="0" applyFont="1" applyFill="1" applyBorder="1" applyAlignment="1">
      <alignment vertical="center"/>
    </xf>
    <xf numFmtId="165" fontId="188" fillId="26" borderId="14" xfId="1" applyFont="1" applyFill="1" applyBorder="1" applyAlignment="1">
      <alignment horizontal="right" vertical="center"/>
    </xf>
    <xf numFmtId="165" fontId="188" fillId="26" borderId="16" xfId="1" applyFont="1" applyFill="1" applyBorder="1" applyAlignment="1">
      <alignment horizontal="right" vertical="center"/>
    </xf>
    <xf numFmtId="165" fontId="188" fillId="40" borderId="14" xfId="1" applyFont="1" applyFill="1" applyBorder="1" applyAlignment="1">
      <alignment horizontal="right" vertical="center"/>
    </xf>
    <xf numFmtId="165" fontId="188" fillId="40" borderId="15" xfId="1" applyFont="1" applyFill="1" applyBorder="1" applyAlignment="1">
      <alignment horizontal="right" vertical="center"/>
    </xf>
    <xf numFmtId="0" fontId="188" fillId="0" borderId="14" xfId="0" applyFont="1" applyFill="1" applyBorder="1" applyAlignment="1">
      <alignment vertical="top" wrapText="1"/>
    </xf>
    <xf numFmtId="0" fontId="188" fillId="0" borderId="15" xfId="0" applyFont="1" applyFill="1" applyBorder="1" applyAlignment="1">
      <alignment vertical="top" wrapText="1"/>
    </xf>
    <xf numFmtId="165" fontId="188" fillId="26" borderId="14" xfId="1" applyFont="1" applyFill="1" applyBorder="1" applyAlignment="1">
      <alignment horizontal="right" vertical="top"/>
    </xf>
    <xf numFmtId="165" fontId="188" fillId="26" borderId="16" xfId="1" applyFont="1" applyFill="1" applyBorder="1" applyAlignment="1">
      <alignment horizontal="right" vertical="top"/>
    </xf>
    <xf numFmtId="165" fontId="188" fillId="40" borderId="14" xfId="1" applyFont="1" applyFill="1" applyBorder="1" applyAlignment="1">
      <alignment horizontal="right" vertical="top"/>
    </xf>
    <xf numFmtId="165" fontId="188" fillId="40" borderId="15" xfId="1" applyFont="1" applyFill="1" applyBorder="1" applyAlignment="1">
      <alignment horizontal="right" vertical="top"/>
    </xf>
    <xf numFmtId="0" fontId="173" fillId="0" borderId="8" xfId="0" applyFont="1" applyFill="1" applyBorder="1" applyAlignment="1">
      <alignment horizontal="center" vertical="top"/>
    </xf>
    <xf numFmtId="0" fontId="190" fillId="2" borderId="14" xfId="0" applyFont="1" applyFill="1" applyBorder="1" applyAlignment="1">
      <alignment horizontal="center" vertical="center"/>
    </xf>
    <xf numFmtId="0" fontId="190" fillId="2" borderId="15" xfId="0" applyFont="1" applyFill="1" applyBorder="1" applyAlignment="1">
      <alignment horizontal="center" vertical="center"/>
    </xf>
    <xf numFmtId="15" fontId="190" fillId="2" borderId="14" xfId="0" applyNumberFormat="1" applyFont="1" applyFill="1" applyBorder="1" applyAlignment="1">
      <alignment horizontal="center" vertical="center"/>
    </xf>
    <xf numFmtId="15" fontId="190" fillId="2" borderId="16" xfId="0" applyNumberFormat="1" applyFont="1" applyFill="1" applyBorder="1" applyAlignment="1">
      <alignment horizontal="center" vertical="center"/>
    </xf>
    <xf numFmtId="15" fontId="190" fillId="2" borderId="14" xfId="0" applyNumberFormat="1" applyFont="1" applyFill="1" applyBorder="1" applyAlignment="1">
      <alignment horizontal="center" vertical="center" wrapText="1"/>
    </xf>
    <xf numFmtId="15" fontId="190" fillId="2" borderId="15" xfId="0" applyNumberFormat="1" applyFont="1" applyFill="1" applyBorder="1" applyAlignment="1">
      <alignment horizontal="center" vertical="center" wrapText="1"/>
    </xf>
    <xf numFmtId="10" fontId="172" fillId="40" borderId="14" xfId="1" applyNumberFormat="1" applyFont="1" applyFill="1" applyBorder="1" applyAlignment="1">
      <alignment horizontal="right" vertical="center"/>
    </xf>
    <xf numFmtId="10" fontId="172" fillId="40" borderId="15" xfId="1" applyNumberFormat="1" applyFont="1" applyFill="1" applyBorder="1" applyAlignment="1">
      <alignment horizontal="right" vertical="center"/>
    </xf>
    <xf numFmtId="0" fontId="187" fillId="0" borderId="14" xfId="0" applyFont="1" applyFill="1" applyBorder="1" applyAlignment="1">
      <alignment horizontal="center" vertical="center"/>
    </xf>
    <xf numFmtId="0" fontId="187" fillId="0" borderId="15" xfId="0" applyFont="1" applyFill="1" applyBorder="1" applyAlignment="1">
      <alignment horizontal="center" vertical="center"/>
    </xf>
    <xf numFmtId="165" fontId="172" fillId="43" borderId="14" xfId="1" applyFont="1" applyFill="1" applyBorder="1" applyAlignment="1">
      <alignment horizontal="center"/>
    </xf>
    <xf numFmtId="165" fontId="172" fillId="43" borderId="15" xfId="1" applyFont="1" applyFill="1" applyBorder="1" applyAlignment="1">
      <alignment horizontal="center"/>
    </xf>
    <xf numFmtId="0" fontId="179" fillId="0" borderId="8" xfId="0" applyFont="1" applyBorder="1" applyAlignment="1">
      <alignment horizontal="center" vertical="top"/>
    </xf>
    <xf numFmtId="0" fontId="172" fillId="0" borderId="14" xfId="0" applyFont="1" applyFill="1" applyBorder="1" applyAlignment="1">
      <alignment horizontal="justify" vertical="top" wrapText="1"/>
    </xf>
    <xf numFmtId="0" fontId="172" fillId="0" borderId="15" xfId="0" applyFont="1" applyFill="1" applyBorder="1" applyAlignment="1">
      <alignment horizontal="justify" vertical="top" wrapText="1"/>
    </xf>
    <xf numFmtId="10" fontId="187" fillId="33" borderId="14" xfId="1" applyNumberFormat="1" applyFont="1" applyFill="1" applyBorder="1" applyAlignment="1">
      <alignment horizontal="right" vertical="top"/>
    </xf>
    <xf numFmtId="10" fontId="187" fillId="33" borderId="15" xfId="1" applyNumberFormat="1" applyFont="1" applyFill="1" applyBorder="1" applyAlignment="1">
      <alignment horizontal="right" vertical="top"/>
    </xf>
    <xf numFmtId="165" fontId="199" fillId="43" borderId="14" xfId="6" applyNumberFormat="1" applyFont="1" applyFill="1" applyBorder="1" applyAlignment="1">
      <alignment horizontal="center" vertical="center"/>
    </xf>
    <xf numFmtId="165" fontId="199" fillId="43" borderId="15" xfId="6" applyNumberFormat="1" applyFont="1" applyFill="1" applyBorder="1" applyAlignment="1">
      <alignment horizontal="center" vertical="center"/>
    </xf>
    <xf numFmtId="165" fontId="199" fillId="43" borderId="14" xfId="6" applyNumberFormat="1" applyFont="1" applyFill="1" applyBorder="1" applyAlignment="1">
      <alignment horizontal="center"/>
    </xf>
    <xf numFmtId="165" fontId="199" fillId="43" borderId="15" xfId="6" applyNumberFormat="1" applyFont="1" applyFill="1" applyBorder="1" applyAlignment="1">
      <alignment horizontal="center"/>
    </xf>
    <xf numFmtId="165" fontId="172" fillId="46" borderId="14" xfId="1" applyFont="1" applyFill="1" applyBorder="1" applyAlignment="1">
      <alignment horizontal="right" vertical="center"/>
    </xf>
    <xf numFmtId="165" fontId="172" fillId="46" borderId="16" xfId="1" applyFont="1" applyFill="1" applyBorder="1" applyAlignment="1">
      <alignment horizontal="right" vertical="center"/>
    </xf>
    <xf numFmtId="165" fontId="172" fillId="46" borderId="14" xfId="1" applyFont="1" applyFill="1" applyBorder="1" applyAlignment="1">
      <alignment horizontal="center" vertical="center"/>
    </xf>
    <xf numFmtId="165" fontId="172" fillId="46" borderId="15" xfId="1" applyFont="1" applyFill="1" applyBorder="1" applyAlignment="1">
      <alignment horizontal="center" vertical="center"/>
    </xf>
    <xf numFmtId="165" fontId="199" fillId="26" borderId="14" xfId="1" applyFont="1" applyFill="1" applyBorder="1" applyAlignment="1">
      <alignment horizontal="right" vertical="center"/>
    </xf>
    <xf numFmtId="165" fontId="199" fillId="26" borderId="16" xfId="1" applyFont="1" applyFill="1" applyBorder="1" applyAlignment="1">
      <alignment horizontal="right" vertical="center"/>
    </xf>
    <xf numFmtId="165" fontId="199" fillId="16" borderId="14" xfId="1" applyFont="1" applyFill="1" applyBorder="1" applyAlignment="1">
      <alignment horizontal="center" vertical="center"/>
    </xf>
    <xf numFmtId="165" fontId="199" fillId="16" borderId="15" xfId="1" applyFont="1" applyFill="1" applyBorder="1" applyAlignment="1">
      <alignment horizontal="center" vertical="center"/>
    </xf>
    <xf numFmtId="165" fontId="234" fillId="33" borderId="14" xfId="1" applyFont="1" applyFill="1" applyBorder="1" applyAlignment="1">
      <alignment horizontal="right" vertical="center"/>
    </xf>
    <xf numFmtId="165" fontId="234" fillId="33" borderId="16" xfId="1" applyFont="1" applyFill="1" applyBorder="1" applyAlignment="1">
      <alignment horizontal="right" vertical="center"/>
    </xf>
    <xf numFmtId="165" fontId="172" fillId="26" borderId="14" xfId="1" applyFont="1" applyFill="1" applyBorder="1" applyAlignment="1">
      <alignment horizontal="center" vertical="center"/>
    </xf>
    <xf numFmtId="165" fontId="172" fillId="26" borderId="15" xfId="1" applyFont="1" applyFill="1" applyBorder="1" applyAlignment="1">
      <alignment horizontal="center" vertical="center"/>
    </xf>
    <xf numFmtId="0" fontId="253" fillId="0" borderId="8" xfId="0" applyNumberFormat="1" applyFont="1" applyFill="1" applyBorder="1" applyAlignment="1">
      <alignment horizontal="left"/>
    </xf>
    <xf numFmtId="10" fontId="189" fillId="40" borderId="14" xfId="1" applyNumberFormat="1" applyFont="1" applyFill="1" applyBorder="1" applyAlignment="1">
      <alignment horizontal="right" vertical="center"/>
    </xf>
    <xf numFmtId="10" fontId="189" fillId="40" borderId="15" xfId="1" applyNumberFormat="1" applyFont="1" applyFill="1" applyBorder="1" applyAlignment="1">
      <alignment horizontal="right" vertical="center"/>
    </xf>
    <xf numFmtId="165" fontId="188" fillId="26" borderId="15" xfId="1" applyFont="1" applyFill="1" applyBorder="1" applyAlignment="1">
      <alignment horizontal="right" vertical="center"/>
    </xf>
    <xf numFmtId="10" fontId="190" fillId="33" borderId="14" xfId="1" applyNumberFormat="1" applyFont="1" applyFill="1" applyBorder="1" applyAlignment="1">
      <alignment horizontal="right" vertical="center"/>
    </xf>
    <xf numFmtId="10" fontId="190" fillId="33" borderId="15" xfId="1" applyNumberFormat="1" applyFont="1" applyFill="1" applyBorder="1" applyAlignment="1">
      <alignment horizontal="right" vertical="center"/>
    </xf>
    <xf numFmtId="0" fontId="172" fillId="0" borderId="14" xfId="0" applyFont="1" applyFill="1" applyBorder="1" applyAlignment="1">
      <alignment horizontal="left" vertical="center"/>
    </xf>
    <xf numFmtId="0" fontId="172" fillId="0" borderId="16" xfId="0" applyFont="1" applyFill="1" applyBorder="1" applyAlignment="1">
      <alignment horizontal="left" vertical="center"/>
    </xf>
    <xf numFmtId="0" fontId="172" fillId="0" borderId="15" xfId="0" applyFont="1" applyFill="1" applyBorder="1" applyAlignment="1">
      <alignment horizontal="left" vertical="center"/>
    </xf>
    <xf numFmtId="0" fontId="209" fillId="0" borderId="0" xfId="0" applyFont="1" applyFill="1" applyAlignment="1">
      <alignment horizontal="left" vertical="top" wrapText="1"/>
    </xf>
    <xf numFmtId="0" fontId="154" fillId="33" borderId="3" xfId="0" applyFont="1" applyFill="1" applyBorder="1" applyAlignment="1">
      <alignment horizontal="center" vertical="top" wrapText="1"/>
    </xf>
    <xf numFmtId="0" fontId="185" fillId="0" borderId="0" xfId="0" applyFont="1" applyAlignment="1">
      <alignment horizontal="left" vertical="top"/>
    </xf>
    <xf numFmtId="15" fontId="172" fillId="0" borderId="14" xfId="0" applyNumberFormat="1" applyFont="1" applyFill="1" applyBorder="1" applyAlignment="1">
      <alignment horizontal="left" vertical="center"/>
    </xf>
    <xf numFmtId="15" fontId="172" fillId="0" borderId="16" xfId="0" applyNumberFormat="1" applyFont="1" applyFill="1" applyBorder="1" applyAlignment="1">
      <alignment horizontal="left" vertical="center"/>
    </xf>
    <xf numFmtId="15" fontId="172" fillId="0" borderId="15" xfId="0" applyNumberFormat="1" applyFont="1" applyFill="1" applyBorder="1" applyAlignment="1">
      <alignment horizontal="left" vertical="center"/>
    </xf>
    <xf numFmtId="15" fontId="187" fillId="34" borderId="3" xfId="0" applyNumberFormat="1" applyFont="1" applyFill="1" applyBorder="1" applyAlignment="1">
      <alignment horizontal="left" vertical="center"/>
    </xf>
    <xf numFmtId="0" fontId="154" fillId="34" borderId="3" xfId="0" applyFont="1" applyFill="1" applyBorder="1" applyAlignment="1">
      <alignment horizontal="left" vertical="top" wrapText="1"/>
    </xf>
    <xf numFmtId="15" fontId="187" fillId="33" borderId="14" xfId="0" applyNumberFormat="1" applyFont="1" applyFill="1" applyBorder="1" applyAlignment="1">
      <alignment horizontal="center" vertical="center"/>
    </xf>
    <xf numFmtId="15" fontId="187" fillId="33" borderId="16" xfId="0" applyNumberFormat="1" applyFont="1" applyFill="1" applyBorder="1" applyAlignment="1">
      <alignment horizontal="center" vertical="center"/>
    </xf>
    <xf numFmtId="15" fontId="187" fillId="33" borderId="15" xfId="0" applyNumberFormat="1" applyFont="1" applyFill="1" applyBorder="1" applyAlignment="1">
      <alignment horizontal="center" vertical="center"/>
    </xf>
    <xf numFmtId="37" fontId="187" fillId="6" borderId="14" xfId="0" applyNumberFormat="1" applyFont="1" applyFill="1" applyBorder="1" applyAlignment="1">
      <alignment horizontal="center" vertical="center"/>
    </xf>
    <xf numFmtId="37" fontId="187" fillId="6" borderId="16" xfId="0" applyNumberFormat="1" applyFont="1" applyFill="1" applyBorder="1" applyAlignment="1">
      <alignment horizontal="center" vertical="center"/>
    </xf>
    <xf numFmtId="37" fontId="187" fillId="6" borderId="15" xfId="0" applyNumberFormat="1" applyFont="1" applyFill="1" applyBorder="1" applyAlignment="1">
      <alignment horizontal="center" vertical="center"/>
    </xf>
    <xf numFmtId="165" fontId="172" fillId="34" borderId="14" xfId="0" applyNumberFormat="1" applyFont="1" applyFill="1" applyBorder="1" applyAlignment="1">
      <alignment horizontal="center" vertical="center"/>
    </xf>
    <xf numFmtId="165" fontId="172" fillId="34" borderId="16" xfId="0" applyNumberFormat="1" applyFont="1" applyFill="1" applyBorder="1" applyAlignment="1">
      <alignment horizontal="center" vertical="center"/>
    </xf>
    <xf numFmtId="165" fontId="172" fillId="34" borderId="15" xfId="0" applyNumberFormat="1" applyFont="1" applyFill="1" applyBorder="1" applyAlignment="1">
      <alignment horizontal="center" vertical="center"/>
    </xf>
    <xf numFmtId="165" fontId="187" fillId="33" borderId="14" xfId="1" applyNumberFormat="1" applyFont="1" applyFill="1" applyBorder="1" applyAlignment="1">
      <alignment horizontal="center" vertical="center"/>
    </xf>
    <xf numFmtId="165" fontId="187" fillId="33" borderId="16" xfId="1" applyNumberFormat="1" applyFont="1" applyFill="1" applyBorder="1" applyAlignment="1">
      <alignment horizontal="center" vertical="center"/>
    </xf>
    <xf numFmtId="165" fontId="187" fillId="33" borderId="15" xfId="1" applyNumberFormat="1" applyFont="1" applyFill="1" applyBorder="1" applyAlignment="1">
      <alignment horizontal="center" vertical="center"/>
    </xf>
    <xf numFmtId="165" fontId="172" fillId="34" borderId="14" xfId="0" applyNumberFormat="1" applyFont="1" applyFill="1" applyBorder="1" applyAlignment="1">
      <alignment horizontal="center" vertical="top"/>
    </xf>
    <xf numFmtId="165" fontId="172" fillId="34" borderId="16" xfId="0" applyNumberFormat="1" applyFont="1" applyFill="1" applyBorder="1" applyAlignment="1">
      <alignment horizontal="center" vertical="top"/>
    </xf>
    <xf numFmtId="165" fontId="172" fillId="34" borderId="15" xfId="0" applyNumberFormat="1" applyFont="1" applyFill="1" applyBorder="1" applyAlignment="1">
      <alignment horizontal="center" vertical="top"/>
    </xf>
    <xf numFmtId="15" fontId="172" fillId="0" borderId="14" xfId="0" applyNumberFormat="1" applyFont="1" applyFill="1" applyBorder="1" applyAlignment="1">
      <alignment horizontal="center" vertical="center"/>
    </xf>
    <xf numFmtId="15" fontId="172" fillId="0" borderId="15" xfId="0" applyNumberFormat="1" applyFont="1" applyFill="1" applyBorder="1" applyAlignment="1">
      <alignment horizontal="center" vertical="center"/>
    </xf>
    <xf numFmtId="0" fontId="187" fillId="6" borderId="16" xfId="0" applyFont="1" applyFill="1" applyBorder="1" applyAlignment="1">
      <alignment horizontal="center" vertical="center"/>
    </xf>
    <xf numFmtId="0" fontId="154" fillId="44" borderId="3" xfId="0" applyFont="1" applyFill="1" applyBorder="1" applyAlignment="1">
      <alignment horizontal="center" vertical="top" wrapText="1"/>
    </xf>
    <xf numFmtId="0" fontId="153" fillId="0" borderId="3" xfId="0" applyFont="1" applyFill="1" applyBorder="1" applyAlignment="1">
      <alignment horizontal="center"/>
    </xf>
    <xf numFmtId="0" fontId="251" fillId="0" borderId="3" xfId="0" applyFont="1" applyBorder="1" applyAlignment="1">
      <alignment horizontal="center"/>
    </xf>
    <xf numFmtId="0" fontId="172" fillId="0" borderId="14" xfId="0" applyFont="1" applyFill="1" applyBorder="1" applyAlignment="1">
      <alignment horizontal="left" vertical="top"/>
    </xf>
    <xf numFmtId="0" fontId="172" fillId="0" borderId="16" xfId="0" applyFont="1" applyFill="1" applyBorder="1" applyAlignment="1">
      <alignment horizontal="left" vertical="top"/>
    </xf>
    <xf numFmtId="0" fontId="172" fillId="0" borderId="15" xfId="0" applyFont="1" applyFill="1" applyBorder="1" applyAlignment="1">
      <alignment horizontal="left" vertical="top"/>
    </xf>
    <xf numFmtId="15" fontId="172" fillId="0" borderId="14" xfId="0" applyNumberFormat="1" applyFont="1" applyFill="1" applyBorder="1" applyAlignment="1">
      <alignment horizontal="center" vertical="top"/>
    </xf>
    <xf numFmtId="15" fontId="172" fillId="0" borderId="15" xfId="0" applyNumberFormat="1" applyFont="1" applyFill="1" applyBorder="1" applyAlignment="1">
      <alignment horizontal="center" vertical="top"/>
    </xf>
    <xf numFmtId="0" fontId="250" fillId="17" borderId="8" xfId="0" applyNumberFormat="1" applyFont="1" applyFill="1" applyBorder="1" applyAlignment="1">
      <alignment horizontal="right"/>
    </xf>
    <xf numFmtId="0" fontId="174" fillId="0" borderId="0" xfId="0" applyFont="1" applyAlignment="1">
      <alignment horizontal="justify" vertical="center" wrapText="1"/>
    </xf>
    <xf numFmtId="0" fontId="174" fillId="0" borderId="0" xfId="0" applyFont="1" applyAlignment="1">
      <alignment horizontal="justify" wrapText="1"/>
    </xf>
    <xf numFmtId="0" fontId="174" fillId="0" borderId="0" xfId="0" applyFont="1" applyAlignment="1">
      <alignment horizontal="justify"/>
    </xf>
    <xf numFmtId="0" fontId="153" fillId="9" borderId="0" xfId="0" applyFont="1" applyFill="1" applyAlignment="1">
      <alignment horizontal="left" vertical="top" wrapText="1"/>
    </xf>
    <xf numFmtId="0" fontId="153" fillId="9" borderId="0" xfId="0" applyFont="1" applyFill="1" applyAlignment="1">
      <alignment horizontal="left" vertical="center" wrapText="1"/>
    </xf>
    <xf numFmtId="3" fontId="199" fillId="3" borderId="14" xfId="0" applyNumberFormat="1" applyFont="1" applyFill="1" applyBorder="1" applyAlignment="1" applyProtection="1">
      <alignment horizontal="right"/>
      <protection locked="0"/>
    </xf>
    <xf numFmtId="3" fontId="199" fillId="3" borderId="16" xfId="0" applyNumberFormat="1" applyFont="1" applyFill="1" applyBorder="1" applyAlignment="1" applyProtection="1">
      <alignment horizontal="right"/>
      <protection locked="0"/>
    </xf>
    <xf numFmtId="3" fontId="199" fillId="3" borderId="15" xfId="0" applyNumberFormat="1" applyFont="1" applyFill="1" applyBorder="1" applyAlignment="1" applyProtection="1">
      <alignment horizontal="right"/>
      <protection locked="0"/>
    </xf>
  </cellXfs>
  <cellStyles count="7">
    <cellStyle name="Comma [0]" xfId="1" builtinId="6"/>
    <cellStyle name="Comma [0] 2" xfId="4"/>
    <cellStyle name="Currency [0]" xfId="2" builtinId="7"/>
    <cellStyle name="Normal" xfId="0" builtinId="0"/>
    <cellStyle name="Normal 2" xfId="3"/>
    <cellStyle name="Normal_1. LKPPLengkap08" xfId="6"/>
    <cellStyle name="Percent 2" xfId="5"/>
  </cellStyles>
  <dxfs count="0"/>
  <tableStyles count="0" defaultTableStyle="TableStyleMedium2" defaultPivotStyle="PivotStyleLight16"/>
  <colors>
    <mruColors>
      <color rgb="FF119F4A"/>
      <color rgb="FF0000FF"/>
      <color rgb="FFFFFF9F"/>
      <color rgb="FFDAEEF3"/>
      <color rgb="FFFFFF99"/>
      <color rgb="FF000099"/>
      <color rgb="FFFFFFCC"/>
      <color rgb="FFFF0000"/>
      <color rgb="FF5ACF1F"/>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'12 calk lra'!$E$66</c:f>
              <c:strCache>
                <c:ptCount val="1"/>
                <c:pt idx="0">
                  <c:v>Anggaran</c:v>
                </c:pt>
              </c:strCache>
            </c:strRef>
          </c:tx>
          <c:invertIfNegative val="0"/>
          <c:cat>
            <c:strRef>
              <c:f>'12 calk lra'!$D$67:$D$69</c:f>
              <c:strCache>
                <c:ptCount val="3"/>
                <c:pt idx="0">
                  <c:v>Belanja Pegawai</c:v>
                </c:pt>
                <c:pt idx="1">
                  <c:v>Belanja Barang</c:v>
                </c:pt>
                <c:pt idx="2">
                  <c:v>Belanja Modal</c:v>
                </c:pt>
              </c:strCache>
            </c:strRef>
          </c:cat>
          <c:val>
            <c:numRef>
              <c:f>'12 calk lra'!$E$67:$E$69</c:f>
              <c:numCache>
                <c:formatCode>_(* #,##0_);_(* \(#,##0\);_(* "-"_);_(@_)</c:formatCode>
                <c:ptCount val="3"/>
                <c:pt idx="0">
                  <c:v>3443983000</c:v>
                </c:pt>
                <c:pt idx="1">
                  <c:v>7044703000</c:v>
                </c:pt>
                <c:pt idx="2">
                  <c:v>1483280000</c:v>
                </c:pt>
              </c:numCache>
            </c:numRef>
          </c:val>
          <c:extLst xmlns:c16r2="http://schemas.microsoft.com/office/drawing/2015/06/chart">
            <c:ext xmlns:c16="http://schemas.microsoft.com/office/drawing/2014/chart" uri="{C3380CC4-5D6E-409C-BE32-E72D297353CC}">
              <c16:uniqueId val="{00000000-D1F7-4907-B045-6F4088406976}"/>
            </c:ext>
          </c:extLst>
        </c:ser>
        <c:ser>
          <c:idx val="1"/>
          <c:order val="1"/>
          <c:tx>
            <c:strRef>
              <c:f>'12 calk lra'!$F$66</c:f>
              <c:strCache>
                <c:ptCount val="1"/>
                <c:pt idx="0">
                  <c:v>Realisasi</c:v>
                </c:pt>
              </c:strCache>
            </c:strRef>
          </c:tx>
          <c:invertIfNegative val="0"/>
          <c:cat>
            <c:strRef>
              <c:f>'12 calk lra'!$D$67:$D$69</c:f>
              <c:strCache>
                <c:ptCount val="3"/>
                <c:pt idx="0">
                  <c:v>Belanja Pegawai</c:v>
                </c:pt>
                <c:pt idx="1">
                  <c:v>Belanja Barang</c:v>
                </c:pt>
                <c:pt idx="2">
                  <c:v>Belanja Modal</c:v>
                </c:pt>
              </c:strCache>
            </c:strRef>
          </c:cat>
          <c:val>
            <c:numRef>
              <c:f>'12 calk lra'!$F$67:$F$69</c:f>
              <c:numCache>
                <c:formatCode>_(* #,##0_);_(* \(#,##0\);_(* "-"_);_(@_)</c:formatCode>
                <c:ptCount val="3"/>
                <c:pt idx="0">
                  <c:v>3316366778</c:v>
                </c:pt>
                <c:pt idx="1">
                  <c:v>6645148395</c:v>
                </c:pt>
                <c:pt idx="2">
                  <c:v>1470129550</c:v>
                </c:pt>
              </c:numCache>
            </c:numRef>
          </c:val>
          <c:extLst xmlns:c16r2="http://schemas.microsoft.com/office/drawing/2015/06/chart">
            <c:ext xmlns:c16="http://schemas.microsoft.com/office/drawing/2014/chart" uri="{C3380CC4-5D6E-409C-BE32-E72D297353CC}">
              <c16:uniqueId val="{00000001-D1F7-4907-B045-6F4088406976}"/>
            </c:ext>
          </c:extLst>
        </c:ser>
        <c:dLbls>
          <c:showLegendKey val="0"/>
          <c:showVal val="0"/>
          <c:showCatName val="0"/>
          <c:showSerName val="0"/>
          <c:showPercent val="0"/>
          <c:showBubbleSize val="0"/>
        </c:dLbls>
        <c:gapWidth val="150"/>
        <c:axId val="330226120"/>
        <c:axId val="330221808"/>
      </c:barChart>
      <c:catAx>
        <c:axId val="330226120"/>
        <c:scaling>
          <c:orientation val="minMax"/>
        </c:scaling>
        <c:delete val="0"/>
        <c:axPos val="b"/>
        <c:numFmt formatCode="General" sourceLinked="0"/>
        <c:majorTickMark val="out"/>
        <c:minorTickMark val="none"/>
        <c:tickLblPos val="nextTo"/>
        <c:txPr>
          <a:bodyPr/>
          <a:lstStyle/>
          <a:p>
            <a:pPr>
              <a:defRPr lang="id-ID"/>
            </a:pPr>
            <a:endParaRPr lang="en-US"/>
          </a:p>
        </c:txPr>
        <c:crossAx val="330221808"/>
        <c:crosses val="autoZero"/>
        <c:auto val="1"/>
        <c:lblAlgn val="ctr"/>
        <c:lblOffset val="100"/>
        <c:noMultiLvlLbl val="0"/>
      </c:catAx>
      <c:valAx>
        <c:axId val="330221808"/>
        <c:scaling>
          <c:orientation val="minMax"/>
        </c:scaling>
        <c:delete val="0"/>
        <c:axPos val="l"/>
        <c:majorGridlines/>
        <c:numFmt formatCode="_(* #,##0_);_(* \(#,##0\);_(* &quot;-&quot;_);_(@_)" sourceLinked="1"/>
        <c:majorTickMark val="out"/>
        <c:minorTickMark val="none"/>
        <c:tickLblPos val="nextTo"/>
        <c:txPr>
          <a:bodyPr/>
          <a:lstStyle/>
          <a:p>
            <a:pPr>
              <a:defRPr lang="id-ID"/>
            </a:pPr>
            <a:endParaRPr lang="en-US"/>
          </a:p>
        </c:txPr>
        <c:crossAx val="330226120"/>
        <c:crosses val="autoZero"/>
        <c:crossBetween val="between"/>
      </c:valAx>
    </c:plotArea>
    <c:legend>
      <c:legendPos val="r"/>
      <c:overlay val="0"/>
      <c:txPr>
        <a:bodyPr/>
        <a:lstStyle/>
        <a:p>
          <a:pPr>
            <a:defRPr lang="id-ID"/>
          </a:pPr>
          <a:endParaRPr lang="en-US"/>
        </a:p>
      </c:txPr>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326572</xdr:colOff>
      <xdr:row>1</xdr:row>
      <xdr:rowOff>108856</xdr:rowOff>
    </xdr:from>
    <xdr:to>
      <xdr:col>11</xdr:col>
      <xdr:colOff>149678</xdr:colOff>
      <xdr:row>3</xdr:row>
      <xdr:rowOff>40819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5643" y="312963"/>
          <a:ext cx="830035" cy="830035"/>
        </a:xfrm>
        <a:prstGeom prst="rect">
          <a:avLst/>
        </a:prstGeom>
      </xdr:spPr>
    </xdr:pic>
    <xdr:clientData/>
  </xdr:twoCellAnchor>
  <xdr:twoCellAnchor editAs="oneCell">
    <xdr:from>
      <xdr:col>0</xdr:col>
      <xdr:colOff>285747</xdr:colOff>
      <xdr:row>11</xdr:row>
      <xdr:rowOff>27215</xdr:rowOff>
    </xdr:from>
    <xdr:to>
      <xdr:col>8</xdr:col>
      <xdr:colOff>13607</xdr:colOff>
      <xdr:row>20</xdr:row>
      <xdr:rowOff>244929</xdr:rowOff>
    </xdr:to>
    <xdr:pic>
      <xdr:nvPicPr>
        <xdr:cNvPr id="6" name="Picture 5" descr="C:\Users\Dinas\Desktop\kantor depan\2.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16"/>
        <a:stretch/>
      </xdr:blipFill>
      <xdr:spPr bwMode="auto">
        <a:xfrm>
          <a:off x="285747" y="3388179"/>
          <a:ext cx="4612824" cy="2544536"/>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485775</xdr:colOff>
      <xdr:row>39</xdr:row>
      <xdr:rowOff>114300</xdr:rowOff>
    </xdr:from>
    <xdr:to>
      <xdr:col>7</xdr:col>
      <xdr:colOff>573446</xdr:colOff>
      <xdr:row>43</xdr:row>
      <xdr:rowOff>162129</xdr:rowOff>
    </xdr:to>
    <xdr:pic>
      <xdr:nvPicPr>
        <xdr:cNvPr id="3" name="Picture 1" descr="ttd KT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0" y="7858125"/>
          <a:ext cx="1611671" cy="886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466725</xdr:colOff>
      <xdr:row>76</xdr:row>
      <xdr:rowOff>95250</xdr:rowOff>
    </xdr:from>
    <xdr:to>
      <xdr:col>9</xdr:col>
      <xdr:colOff>438150</xdr:colOff>
      <xdr:row>76</xdr:row>
      <xdr:rowOff>95250</xdr:rowOff>
    </xdr:to>
    <xdr:sp macro="" textlink="">
      <xdr:nvSpPr>
        <xdr:cNvPr id="2" name="Freeform 1"/>
        <xdr:cNvSpPr>
          <a:spLocks/>
        </xdr:cNvSpPr>
      </xdr:nvSpPr>
      <xdr:spPr bwMode="auto">
        <a:xfrm>
          <a:off x="1152525" y="17697450"/>
          <a:ext cx="5457825" cy="0"/>
        </a:xfrm>
        <a:custGeom>
          <a:avLst/>
          <a:gdLst>
            <a:gd name="T0" fmla="*/ 0 w 8599"/>
            <a:gd name="T1" fmla="*/ 8599 w 8599"/>
          </a:gdLst>
          <a:ahLst/>
          <a:cxnLst>
            <a:cxn ang="0">
              <a:pos x="T0" y="0"/>
            </a:cxn>
            <a:cxn ang="0">
              <a:pos x="T1" y="0"/>
            </a:cxn>
          </a:cxnLst>
          <a:rect l="0" t="0" r="r" b="b"/>
          <a:pathLst>
            <a:path w="8599">
              <a:moveTo>
                <a:pt x="0" y="0"/>
              </a:moveTo>
              <a:lnTo>
                <a:pt x="8599" y="0"/>
              </a:lnTo>
            </a:path>
          </a:pathLst>
        </a:custGeom>
        <a:noFill/>
        <a:ln w="736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104776</xdr:colOff>
      <xdr:row>0</xdr:row>
      <xdr:rowOff>28575</xdr:rowOff>
    </xdr:from>
    <xdr:to>
      <xdr:col>1</xdr:col>
      <xdr:colOff>152401</xdr:colOff>
      <xdr:row>3</xdr:row>
      <xdr:rowOff>104775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28575"/>
          <a:ext cx="809625" cy="809625"/>
        </a:xfrm>
        <a:prstGeom prst="rect">
          <a:avLst/>
        </a:prstGeom>
      </xdr:spPr>
    </xdr:pic>
    <xdr:clientData/>
  </xdr:twoCellAnchor>
  <xdr:twoCellAnchor>
    <xdr:from>
      <xdr:col>4</xdr:col>
      <xdr:colOff>619125</xdr:colOff>
      <xdr:row>29</xdr:row>
      <xdr:rowOff>104775</xdr:rowOff>
    </xdr:from>
    <xdr:to>
      <xdr:col>6</xdr:col>
      <xdr:colOff>706796</xdr:colOff>
      <xdr:row>33</xdr:row>
      <xdr:rowOff>152604</xdr:rowOff>
    </xdr:to>
    <xdr:pic>
      <xdr:nvPicPr>
        <xdr:cNvPr id="4" name="Picture 1" descr="ttd KTU"/>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67125" y="6048375"/>
          <a:ext cx="1611671" cy="886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76200</xdr:colOff>
      <xdr:row>9</xdr:row>
      <xdr:rowOff>85725</xdr:rowOff>
    </xdr:from>
    <xdr:to>
      <xdr:col>10</xdr:col>
      <xdr:colOff>666750</xdr:colOff>
      <xdr:row>11</xdr:row>
      <xdr:rowOff>28575</xdr:rowOff>
    </xdr:to>
    <xdr:sp macro="" textlink="">
      <xdr:nvSpPr>
        <xdr:cNvPr id="4" name="Left Arrow 3"/>
        <xdr:cNvSpPr/>
      </xdr:nvSpPr>
      <xdr:spPr>
        <a:xfrm>
          <a:off x="6353175" y="1743075"/>
          <a:ext cx="59055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p>
      </xdr:txBody>
    </xdr:sp>
    <xdr:clientData/>
  </xdr:twoCellAnchor>
  <xdr:twoCellAnchor>
    <xdr:from>
      <xdr:col>10</xdr:col>
      <xdr:colOff>47625</xdr:colOff>
      <xdr:row>17</xdr:row>
      <xdr:rowOff>171450</xdr:rowOff>
    </xdr:from>
    <xdr:to>
      <xdr:col>10</xdr:col>
      <xdr:colOff>638175</xdr:colOff>
      <xdr:row>19</xdr:row>
      <xdr:rowOff>114300</xdr:rowOff>
    </xdr:to>
    <xdr:sp macro="" textlink="">
      <xdr:nvSpPr>
        <xdr:cNvPr id="5" name="Left Arrow 4"/>
        <xdr:cNvSpPr/>
      </xdr:nvSpPr>
      <xdr:spPr>
        <a:xfrm>
          <a:off x="6324600" y="3028950"/>
          <a:ext cx="59055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p>
      </xdr:txBody>
    </xdr:sp>
    <xdr:clientData/>
  </xdr:twoCellAnchor>
  <xdr:twoCellAnchor>
    <xdr:from>
      <xdr:col>10</xdr:col>
      <xdr:colOff>66675</xdr:colOff>
      <xdr:row>21</xdr:row>
      <xdr:rowOff>171450</xdr:rowOff>
    </xdr:from>
    <xdr:to>
      <xdr:col>10</xdr:col>
      <xdr:colOff>657225</xdr:colOff>
      <xdr:row>23</xdr:row>
      <xdr:rowOff>114300</xdr:rowOff>
    </xdr:to>
    <xdr:sp macro="" textlink="">
      <xdr:nvSpPr>
        <xdr:cNvPr id="6" name="Left Arrow 5"/>
        <xdr:cNvSpPr/>
      </xdr:nvSpPr>
      <xdr:spPr>
        <a:xfrm>
          <a:off x="6343650" y="3829050"/>
          <a:ext cx="59055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p>
      </xdr:txBody>
    </xdr:sp>
    <xdr:clientData/>
  </xdr:twoCellAnchor>
  <xdr:twoCellAnchor>
    <xdr:from>
      <xdr:col>10</xdr:col>
      <xdr:colOff>66675</xdr:colOff>
      <xdr:row>25</xdr:row>
      <xdr:rowOff>161925</xdr:rowOff>
    </xdr:from>
    <xdr:to>
      <xdr:col>10</xdr:col>
      <xdr:colOff>657225</xdr:colOff>
      <xdr:row>27</xdr:row>
      <xdr:rowOff>104775</xdr:rowOff>
    </xdr:to>
    <xdr:sp macro="" textlink="">
      <xdr:nvSpPr>
        <xdr:cNvPr id="7" name="Left Arrow 6"/>
        <xdr:cNvSpPr/>
      </xdr:nvSpPr>
      <xdr:spPr>
        <a:xfrm>
          <a:off x="6343650" y="4619625"/>
          <a:ext cx="59055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40821</xdr:colOff>
      <xdr:row>75</xdr:row>
      <xdr:rowOff>68036</xdr:rowOff>
    </xdr:from>
    <xdr:to>
      <xdr:col>7</xdr:col>
      <xdr:colOff>228599</xdr:colOff>
      <xdr:row>89</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122464</xdr:colOff>
      <xdr:row>25</xdr:row>
      <xdr:rowOff>27215</xdr:rowOff>
    </xdr:from>
    <xdr:to>
      <xdr:col>8</xdr:col>
      <xdr:colOff>654092</xdr:colOff>
      <xdr:row>27</xdr:row>
      <xdr:rowOff>32658</xdr:rowOff>
    </xdr:to>
    <xdr:sp macro="" textlink="">
      <xdr:nvSpPr>
        <xdr:cNvPr id="4" name="Right Arrow 3"/>
        <xdr:cNvSpPr/>
      </xdr:nvSpPr>
      <xdr:spPr>
        <a:xfrm>
          <a:off x="7170964" y="1319894"/>
          <a:ext cx="531628"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81643</xdr:colOff>
      <xdr:row>41</xdr:row>
      <xdr:rowOff>204107</xdr:rowOff>
    </xdr:from>
    <xdr:to>
      <xdr:col>8</xdr:col>
      <xdr:colOff>613271</xdr:colOff>
      <xdr:row>43</xdr:row>
      <xdr:rowOff>127907</xdr:rowOff>
    </xdr:to>
    <xdr:sp macro="" textlink="">
      <xdr:nvSpPr>
        <xdr:cNvPr id="5" name="Right Arrow 4"/>
        <xdr:cNvSpPr/>
      </xdr:nvSpPr>
      <xdr:spPr>
        <a:xfrm>
          <a:off x="7130143" y="5265964"/>
          <a:ext cx="531628"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54428</xdr:colOff>
      <xdr:row>92</xdr:row>
      <xdr:rowOff>0</xdr:rowOff>
    </xdr:from>
    <xdr:to>
      <xdr:col>8</xdr:col>
      <xdr:colOff>586056</xdr:colOff>
      <xdr:row>94</xdr:row>
      <xdr:rowOff>19050</xdr:rowOff>
    </xdr:to>
    <xdr:sp macro="" textlink="">
      <xdr:nvSpPr>
        <xdr:cNvPr id="6" name="Right Arrow 5"/>
        <xdr:cNvSpPr/>
      </xdr:nvSpPr>
      <xdr:spPr>
        <a:xfrm>
          <a:off x="7102928" y="17104179"/>
          <a:ext cx="531628"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81643</xdr:colOff>
      <xdr:row>111</xdr:row>
      <xdr:rowOff>122465</xdr:rowOff>
    </xdr:from>
    <xdr:to>
      <xdr:col>8</xdr:col>
      <xdr:colOff>613271</xdr:colOff>
      <xdr:row>113</xdr:row>
      <xdr:rowOff>32657</xdr:rowOff>
    </xdr:to>
    <xdr:sp macro="" textlink="">
      <xdr:nvSpPr>
        <xdr:cNvPr id="7" name="Right Arrow 6"/>
        <xdr:cNvSpPr/>
      </xdr:nvSpPr>
      <xdr:spPr>
        <a:xfrm>
          <a:off x="7130143" y="21499286"/>
          <a:ext cx="531628"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81643</xdr:colOff>
      <xdr:row>133</xdr:row>
      <xdr:rowOff>0</xdr:rowOff>
    </xdr:from>
    <xdr:to>
      <xdr:col>8</xdr:col>
      <xdr:colOff>613271</xdr:colOff>
      <xdr:row>134</xdr:row>
      <xdr:rowOff>155121</xdr:rowOff>
    </xdr:to>
    <xdr:sp macro="" textlink="">
      <xdr:nvSpPr>
        <xdr:cNvPr id="8" name="Right Arrow 7"/>
        <xdr:cNvSpPr/>
      </xdr:nvSpPr>
      <xdr:spPr>
        <a:xfrm>
          <a:off x="7130143" y="26588357"/>
          <a:ext cx="531628"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95250</xdr:colOff>
      <xdr:row>158</xdr:row>
      <xdr:rowOff>27214</xdr:rowOff>
    </xdr:from>
    <xdr:to>
      <xdr:col>8</xdr:col>
      <xdr:colOff>626878</xdr:colOff>
      <xdr:row>159</xdr:row>
      <xdr:rowOff>182336</xdr:rowOff>
    </xdr:to>
    <xdr:sp macro="" textlink="">
      <xdr:nvSpPr>
        <xdr:cNvPr id="9" name="Right Arrow 8"/>
        <xdr:cNvSpPr/>
      </xdr:nvSpPr>
      <xdr:spPr>
        <a:xfrm>
          <a:off x="7143750" y="32561893"/>
          <a:ext cx="531628"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81643</xdr:colOff>
      <xdr:row>174</xdr:row>
      <xdr:rowOff>163285</xdr:rowOff>
    </xdr:from>
    <xdr:to>
      <xdr:col>8</xdr:col>
      <xdr:colOff>613271</xdr:colOff>
      <xdr:row>177</xdr:row>
      <xdr:rowOff>5442</xdr:rowOff>
    </xdr:to>
    <xdr:sp macro="" textlink="">
      <xdr:nvSpPr>
        <xdr:cNvPr id="10" name="Right Arrow 9"/>
        <xdr:cNvSpPr/>
      </xdr:nvSpPr>
      <xdr:spPr>
        <a:xfrm>
          <a:off x="7130143" y="35950071"/>
          <a:ext cx="531628"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122464</xdr:colOff>
      <xdr:row>182</xdr:row>
      <xdr:rowOff>108857</xdr:rowOff>
    </xdr:from>
    <xdr:to>
      <xdr:col>8</xdr:col>
      <xdr:colOff>654092</xdr:colOff>
      <xdr:row>183</xdr:row>
      <xdr:rowOff>114300</xdr:rowOff>
    </xdr:to>
    <xdr:sp macro="" textlink="">
      <xdr:nvSpPr>
        <xdr:cNvPr id="11" name="Right Arrow 10"/>
        <xdr:cNvSpPr/>
      </xdr:nvSpPr>
      <xdr:spPr>
        <a:xfrm>
          <a:off x="7170964" y="37446857"/>
          <a:ext cx="531628"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108857</xdr:colOff>
      <xdr:row>189</xdr:row>
      <xdr:rowOff>176894</xdr:rowOff>
    </xdr:from>
    <xdr:to>
      <xdr:col>8</xdr:col>
      <xdr:colOff>640485</xdr:colOff>
      <xdr:row>196</xdr:row>
      <xdr:rowOff>0</xdr:rowOff>
    </xdr:to>
    <xdr:sp macro="" textlink="">
      <xdr:nvSpPr>
        <xdr:cNvPr id="12" name="Right Arrow 11"/>
        <xdr:cNvSpPr/>
      </xdr:nvSpPr>
      <xdr:spPr>
        <a:xfrm>
          <a:off x="7157357" y="39365465"/>
          <a:ext cx="531628"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81642</xdr:colOff>
      <xdr:row>34</xdr:row>
      <xdr:rowOff>95250</xdr:rowOff>
    </xdr:from>
    <xdr:to>
      <xdr:col>8</xdr:col>
      <xdr:colOff>613270</xdr:colOff>
      <xdr:row>35</xdr:row>
      <xdr:rowOff>168729</xdr:rowOff>
    </xdr:to>
    <xdr:sp macro="" textlink="">
      <xdr:nvSpPr>
        <xdr:cNvPr id="14" name="Right Arrow 13"/>
        <xdr:cNvSpPr/>
      </xdr:nvSpPr>
      <xdr:spPr>
        <a:xfrm>
          <a:off x="7130142" y="3415393"/>
          <a:ext cx="531628"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81643</xdr:colOff>
      <xdr:row>205</xdr:row>
      <xdr:rowOff>176892</xdr:rowOff>
    </xdr:from>
    <xdr:to>
      <xdr:col>8</xdr:col>
      <xdr:colOff>613271</xdr:colOff>
      <xdr:row>208</xdr:row>
      <xdr:rowOff>19048</xdr:rowOff>
    </xdr:to>
    <xdr:sp macro="" textlink="">
      <xdr:nvSpPr>
        <xdr:cNvPr id="15" name="Right Arrow 14"/>
        <xdr:cNvSpPr/>
      </xdr:nvSpPr>
      <xdr:spPr>
        <a:xfrm>
          <a:off x="7130143" y="43012178"/>
          <a:ext cx="531628" cy="4000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68036</xdr:colOff>
      <xdr:row>214</xdr:row>
      <xdr:rowOff>95250</xdr:rowOff>
    </xdr:from>
    <xdr:to>
      <xdr:col>8</xdr:col>
      <xdr:colOff>599664</xdr:colOff>
      <xdr:row>215</xdr:row>
      <xdr:rowOff>46263</xdr:rowOff>
    </xdr:to>
    <xdr:sp macro="" textlink="">
      <xdr:nvSpPr>
        <xdr:cNvPr id="16" name="Right Arrow 15"/>
        <xdr:cNvSpPr/>
      </xdr:nvSpPr>
      <xdr:spPr>
        <a:xfrm>
          <a:off x="7116536" y="44713071"/>
          <a:ext cx="531628" cy="4000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95250</xdr:colOff>
      <xdr:row>220</xdr:row>
      <xdr:rowOff>68036</xdr:rowOff>
    </xdr:from>
    <xdr:to>
      <xdr:col>8</xdr:col>
      <xdr:colOff>626878</xdr:colOff>
      <xdr:row>222</xdr:row>
      <xdr:rowOff>87085</xdr:rowOff>
    </xdr:to>
    <xdr:sp macro="" textlink="">
      <xdr:nvSpPr>
        <xdr:cNvPr id="17" name="Right Arrow 16"/>
        <xdr:cNvSpPr/>
      </xdr:nvSpPr>
      <xdr:spPr>
        <a:xfrm>
          <a:off x="7143750" y="46155429"/>
          <a:ext cx="531628" cy="4000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149678</xdr:colOff>
      <xdr:row>230</xdr:row>
      <xdr:rowOff>258536</xdr:rowOff>
    </xdr:from>
    <xdr:to>
      <xdr:col>9</xdr:col>
      <xdr:colOff>949</xdr:colOff>
      <xdr:row>232</xdr:row>
      <xdr:rowOff>19050</xdr:rowOff>
    </xdr:to>
    <xdr:sp macro="" textlink="">
      <xdr:nvSpPr>
        <xdr:cNvPr id="18" name="Right Arrow 17"/>
        <xdr:cNvSpPr/>
      </xdr:nvSpPr>
      <xdr:spPr>
        <a:xfrm>
          <a:off x="7198178" y="48237322"/>
          <a:ext cx="531628" cy="4000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81642</xdr:colOff>
      <xdr:row>237</xdr:row>
      <xdr:rowOff>54429</xdr:rowOff>
    </xdr:from>
    <xdr:to>
      <xdr:col>8</xdr:col>
      <xdr:colOff>613270</xdr:colOff>
      <xdr:row>239</xdr:row>
      <xdr:rowOff>73478</xdr:rowOff>
    </xdr:to>
    <xdr:sp macro="" textlink="">
      <xdr:nvSpPr>
        <xdr:cNvPr id="19" name="Right Arrow 18"/>
        <xdr:cNvSpPr/>
      </xdr:nvSpPr>
      <xdr:spPr>
        <a:xfrm>
          <a:off x="7130142" y="49693286"/>
          <a:ext cx="531628" cy="4000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68035</xdr:colOff>
      <xdr:row>246</xdr:row>
      <xdr:rowOff>0</xdr:rowOff>
    </xdr:from>
    <xdr:to>
      <xdr:col>8</xdr:col>
      <xdr:colOff>599663</xdr:colOff>
      <xdr:row>247</xdr:row>
      <xdr:rowOff>100692</xdr:rowOff>
    </xdr:to>
    <xdr:sp macro="" textlink="">
      <xdr:nvSpPr>
        <xdr:cNvPr id="20" name="Right Arrow 19"/>
        <xdr:cNvSpPr/>
      </xdr:nvSpPr>
      <xdr:spPr>
        <a:xfrm>
          <a:off x="7116535" y="51530250"/>
          <a:ext cx="531628" cy="4000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81643</xdr:colOff>
      <xdr:row>256</xdr:row>
      <xdr:rowOff>0</xdr:rowOff>
    </xdr:from>
    <xdr:to>
      <xdr:col>8</xdr:col>
      <xdr:colOff>613271</xdr:colOff>
      <xdr:row>257</xdr:row>
      <xdr:rowOff>155121</xdr:rowOff>
    </xdr:to>
    <xdr:sp macro="" textlink="">
      <xdr:nvSpPr>
        <xdr:cNvPr id="21" name="Right Arrow 20"/>
        <xdr:cNvSpPr/>
      </xdr:nvSpPr>
      <xdr:spPr>
        <a:xfrm>
          <a:off x="7130143" y="53870679"/>
          <a:ext cx="531628" cy="4000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122465</xdr:colOff>
      <xdr:row>268</xdr:row>
      <xdr:rowOff>1</xdr:rowOff>
    </xdr:from>
    <xdr:to>
      <xdr:col>8</xdr:col>
      <xdr:colOff>654093</xdr:colOff>
      <xdr:row>269</xdr:row>
      <xdr:rowOff>155121</xdr:rowOff>
    </xdr:to>
    <xdr:sp macro="" textlink="">
      <xdr:nvSpPr>
        <xdr:cNvPr id="22" name="Right Arrow 21"/>
        <xdr:cNvSpPr/>
      </xdr:nvSpPr>
      <xdr:spPr>
        <a:xfrm>
          <a:off x="7170965" y="56809822"/>
          <a:ext cx="531628" cy="4000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39309</xdr:colOff>
      <xdr:row>199</xdr:row>
      <xdr:rowOff>186568</xdr:rowOff>
    </xdr:from>
    <xdr:to>
      <xdr:col>8</xdr:col>
      <xdr:colOff>570937</xdr:colOff>
      <xdr:row>201</xdr:row>
      <xdr:rowOff>58359</xdr:rowOff>
    </xdr:to>
    <xdr:sp macro="" textlink="">
      <xdr:nvSpPr>
        <xdr:cNvPr id="24" name="Right Arrow 23"/>
        <xdr:cNvSpPr/>
      </xdr:nvSpPr>
      <xdr:spPr>
        <a:xfrm>
          <a:off x="7172476" y="48785235"/>
          <a:ext cx="531628" cy="2739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80130</xdr:colOff>
      <xdr:row>2</xdr:row>
      <xdr:rowOff>208645</xdr:rowOff>
    </xdr:from>
    <xdr:to>
      <xdr:col>8</xdr:col>
      <xdr:colOff>611758</xdr:colOff>
      <xdr:row>4</xdr:row>
      <xdr:rowOff>97671</xdr:rowOff>
    </xdr:to>
    <xdr:sp macro="" textlink="">
      <xdr:nvSpPr>
        <xdr:cNvPr id="23" name="Right Arrow 22"/>
        <xdr:cNvSpPr/>
      </xdr:nvSpPr>
      <xdr:spPr>
        <a:xfrm>
          <a:off x="7213297" y="504978"/>
          <a:ext cx="531628" cy="3970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63197</xdr:colOff>
      <xdr:row>5</xdr:row>
      <xdr:rowOff>223461</xdr:rowOff>
    </xdr:from>
    <xdr:to>
      <xdr:col>8</xdr:col>
      <xdr:colOff>594825</xdr:colOff>
      <xdr:row>7</xdr:row>
      <xdr:rowOff>112487</xdr:rowOff>
    </xdr:to>
    <xdr:sp macro="" textlink="">
      <xdr:nvSpPr>
        <xdr:cNvPr id="25" name="Right Arrow 24"/>
        <xdr:cNvSpPr/>
      </xdr:nvSpPr>
      <xdr:spPr>
        <a:xfrm>
          <a:off x="7196364" y="1239461"/>
          <a:ext cx="531628" cy="3970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617131</xdr:colOff>
      <xdr:row>234</xdr:row>
      <xdr:rowOff>156830</xdr:rowOff>
    </xdr:from>
    <xdr:to>
      <xdr:col>11</xdr:col>
      <xdr:colOff>462959</xdr:colOff>
      <xdr:row>236</xdr:row>
      <xdr:rowOff>47625</xdr:rowOff>
    </xdr:to>
    <xdr:sp macro="" textlink="">
      <xdr:nvSpPr>
        <xdr:cNvPr id="2" name="Right Arrow 1"/>
        <xdr:cNvSpPr/>
      </xdr:nvSpPr>
      <xdr:spPr>
        <a:xfrm>
          <a:off x="8427631" y="47915180"/>
          <a:ext cx="531628" cy="595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10</xdr:col>
      <xdr:colOff>17278</xdr:colOff>
      <xdr:row>266</xdr:row>
      <xdr:rowOff>123825</xdr:rowOff>
    </xdr:from>
    <xdr:to>
      <xdr:col>11</xdr:col>
      <xdr:colOff>57150</xdr:colOff>
      <xdr:row>272</xdr:row>
      <xdr:rowOff>104775</xdr:rowOff>
    </xdr:to>
    <xdr:sp macro="" textlink="">
      <xdr:nvSpPr>
        <xdr:cNvPr id="3" name="Right Arrow 2"/>
        <xdr:cNvSpPr/>
      </xdr:nvSpPr>
      <xdr:spPr>
        <a:xfrm>
          <a:off x="7999228" y="55254525"/>
          <a:ext cx="725672" cy="1181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10</xdr:col>
      <xdr:colOff>238123</xdr:colOff>
      <xdr:row>299</xdr:row>
      <xdr:rowOff>152399</xdr:rowOff>
    </xdr:from>
    <xdr:to>
      <xdr:col>11</xdr:col>
      <xdr:colOff>257174</xdr:colOff>
      <xdr:row>307</xdr:row>
      <xdr:rowOff>180974</xdr:rowOff>
    </xdr:to>
    <xdr:sp macro="" textlink="">
      <xdr:nvSpPr>
        <xdr:cNvPr id="6" name="Right Arrow 5"/>
        <xdr:cNvSpPr/>
      </xdr:nvSpPr>
      <xdr:spPr>
        <a:xfrm>
          <a:off x="8220073" y="65398649"/>
          <a:ext cx="704851" cy="1628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10</xdr:col>
      <xdr:colOff>133350</xdr:colOff>
      <xdr:row>347</xdr:row>
      <xdr:rowOff>38100</xdr:rowOff>
    </xdr:from>
    <xdr:to>
      <xdr:col>10</xdr:col>
      <xdr:colOff>664978</xdr:colOff>
      <xdr:row>362</xdr:row>
      <xdr:rowOff>28575</xdr:rowOff>
    </xdr:to>
    <xdr:sp macro="" textlink="">
      <xdr:nvSpPr>
        <xdr:cNvPr id="7" name="Right Arrow 6"/>
        <xdr:cNvSpPr/>
      </xdr:nvSpPr>
      <xdr:spPr>
        <a:xfrm>
          <a:off x="7943850" y="72199500"/>
          <a:ext cx="531628"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10</xdr:col>
      <xdr:colOff>123825</xdr:colOff>
      <xdr:row>382</xdr:row>
      <xdr:rowOff>85725</xdr:rowOff>
    </xdr:from>
    <xdr:to>
      <xdr:col>10</xdr:col>
      <xdr:colOff>655453</xdr:colOff>
      <xdr:row>384</xdr:row>
      <xdr:rowOff>141102</xdr:rowOff>
    </xdr:to>
    <xdr:sp macro="" textlink="">
      <xdr:nvSpPr>
        <xdr:cNvPr id="8" name="Right Arrow 7"/>
        <xdr:cNvSpPr/>
      </xdr:nvSpPr>
      <xdr:spPr>
        <a:xfrm>
          <a:off x="7934325" y="76781025"/>
          <a:ext cx="531628" cy="45542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10</xdr:col>
      <xdr:colOff>91928</xdr:colOff>
      <xdr:row>436</xdr:row>
      <xdr:rowOff>154393</xdr:rowOff>
    </xdr:from>
    <xdr:to>
      <xdr:col>10</xdr:col>
      <xdr:colOff>623556</xdr:colOff>
      <xdr:row>440</xdr:row>
      <xdr:rowOff>96577</xdr:rowOff>
    </xdr:to>
    <xdr:sp macro="" textlink="">
      <xdr:nvSpPr>
        <xdr:cNvPr id="10" name="Right Arrow 9"/>
        <xdr:cNvSpPr/>
      </xdr:nvSpPr>
      <xdr:spPr>
        <a:xfrm>
          <a:off x="8073878" y="95585368"/>
          <a:ext cx="531628" cy="74228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10</xdr:col>
      <xdr:colOff>9525</xdr:colOff>
      <xdr:row>49</xdr:row>
      <xdr:rowOff>219075</xdr:rowOff>
    </xdr:from>
    <xdr:to>
      <xdr:col>10</xdr:col>
      <xdr:colOff>600075</xdr:colOff>
      <xdr:row>51</xdr:row>
      <xdr:rowOff>104775</xdr:rowOff>
    </xdr:to>
    <xdr:sp macro="" textlink="">
      <xdr:nvSpPr>
        <xdr:cNvPr id="12" name="Left Arrow 11"/>
        <xdr:cNvSpPr/>
      </xdr:nvSpPr>
      <xdr:spPr>
        <a:xfrm>
          <a:off x="7820025" y="9344025"/>
          <a:ext cx="59055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p>
      </xdr:txBody>
    </xdr:sp>
    <xdr:clientData/>
  </xdr:twoCellAnchor>
  <xdr:twoCellAnchor>
    <xdr:from>
      <xdr:col>10</xdr:col>
      <xdr:colOff>19050</xdr:colOff>
      <xdr:row>63</xdr:row>
      <xdr:rowOff>247650</xdr:rowOff>
    </xdr:from>
    <xdr:to>
      <xdr:col>10</xdr:col>
      <xdr:colOff>609600</xdr:colOff>
      <xdr:row>65</xdr:row>
      <xdr:rowOff>76200</xdr:rowOff>
    </xdr:to>
    <xdr:sp macro="" textlink="">
      <xdr:nvSpPr>
        <xdr:cNvPr id="13" name="Left Arrow 12"/>
        <xdr:cNvSpPr/>
      </xdr:nvSpPr>
      <xdr:spPr>
        <a:xfrm>
          <a:off x="7829550" y="12220575"/>
          <a:ext cx="590550" cy="342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96"/>
  <sheetViews>
    <sheetView topLeftCell="A82" workbookViewId="0">
      <selection activeCell="O3" sqref="O3"/>
    </sheetView>
  </sheetViews>
  <sheetFormatPr defaultRowHeight="15.5" x14ac:dyDescent="0.35"/>
  <cols>
    <col min="1" max="4" width="3.08203125" customWidth="1"/>
    <col min="5" max="5" width="4.33203125" customWidth="1"/>
    <col min="6" max="6" width="1.58203125" customWidth="1"/>
    <col min="7" max="11" width="3.08203125" customWidth="1"/>
    <col min="12" max="12" width="2.75" customWidth="1"/>
    <col min="13" max="13" width="3.08203125" customWidth="1"/>
    <col min="14" max="14" width="1.83203125" customWidth="1"/>
    <col min="15" max="15" width="3.25" customWidth="1"/>
    <col min="16" max="25" width="3.08203125" customWidth="1"/>
    <col min="26" max="26" width="2.08203125" customWidth="1"/>
    <col min="27" max="41" width="3.08203125" customWidth="1"/>
    <col min="42" max="42" width="1.75" customWidth="1"/>
    <col min="43" max="43" width="5.83203125" customWidth="1"/>
    <col min="44" max="44" width="8.203125E-2" customWidth="1"/>
    <col min="45" max="307" width="3.08203125" customWidth="1"/>
  </cols>
  <sheetData>
    <row r="1" spans="1:28" x14ac:dyDescent="0.35">
      <c r="A1" s="1578" t="s">
        <v>144</v>
      </c>
      <c r="B1" s="1579"/>
      <c r="C1" s="1579"/>
      <c r="D1" s="1579"/>
      <c r="E1" s="1579"/>
      <c r="F1" s="1579"/>
      <c r="G1" s="1579"/>
      <c r="H1" s="1579"/>
      <c r="I1" s="1579"/>
      <c r="J1" s="1579"/>
      <c r="K1" s="1579"/>
      <c r="L1" s="1579"/>
      <c r="M1" s="1579"/>
      <c r="N1" s="1579"/>
      <c r="O1" s="1579"/>
      <c r="P1" s="1579"/>
      <c r="Q1" s="1579"/>
      <c r="R1" s="1579"/>
      <c r="S1" s="1579"/>
      <c r="T1" s="1579"/>
      <c r="U1" s="1579"/>
    </row>
    <row r="2" spans="1:28" x14ac:dyDescent="0.35">
      <c r="A2" s="1567" t="s">
        <v>145</v>
      </c>
      <c r="B2" s="1568"/>
      <c r="C2" s="1568"/>
      <c r="D2" s="1568"/>
      <c r="E2" s="1568"/>
      <c r="F2" s="1568"/>
      <c r="G2" s="1568"/>
      <c r="H2" s="1568"/>
      <c r="I2" s="1568"/>
      <c r="J2" s="1568"/>
      <c r="K2" s="1568"/>
      <c r="L2" s="1568"/>
      <c r="M2" s="1568"/>
      <c r="N2" s="14" t="s">
        <v>8</v>
      </c>
      <c r="O2" s="5" t="s">
        <v>146</v>
      </c>
      <c r="P2" s="1574"/>
      <c r="Q2" s="1574"/>
      <c r="R2" s="1574"/>
      <c r="S2" s="1574"/>
      <c r="T2" s="1574"/>
      <c r="U2" s="1574"/>
      <c r="V2" s="1574"/>
      <c r="W2" s="1574"/>
      <c r="X2" s="1574"/>
      <c r="Y2" s="1574"/>
      <c r="Z2" s="1574"/>
      <c r="AA2" s="1574"/>
      <c r="AB2" s="1574"/>
    </row>
    <row r="3" spans="1:28" x14ac:dyDescent="0.35">
      <c r="A3" s="1567" t="s">
        <v>147</v>
      </c>
      <c r="B3" s="1568"/>
      <c r="C3" s="1568"/>
      <c r="D3" s="1568"/>
      <c r="E3" s="1568"/>
      <c r="F3" s="1568"/>
      <c r="G3" s="1568"/>
      <c r="H3" s="1568"/>
      <c r="I3" s="1568"/>
      <c r="J3" s="1568"/>
      <c r="K3" s="1568"/>
      <c r="L3" s="1568"/>
      <c r="M3" s="1568"/>
      <c r="N3" s="14" t="s">
        <v>8</v>
      </c>
      <c r="O3" s="12" t="s">
        <v>169</v>
      </c>
      <c r="P3" s="1574"/>
      <c r="Q3" s="1574"/>
      <c r="R3" s="1574"/>
      <c r="S3" s="1574"/>
      <c r="T3" s="1574"/>
      <c r="U3" s="1574"/>
      <c r="V3" s="1574"/>
      <c r="W3" s="1574"/>
      <c r="X3" s="1574"/>
      <c r="Y3" s="1574"/>
      <c r="Z3" s="1574"/>
      <c r="AA3" s="1574"/>
      <c r="AB3" s="1574"/>
    </row>
    <row r="4" spans="1:28" x14ac:dyDescent="0.35">
      <c r="A4" s="1567" t="s">
        <v>148</v>
      </c>
      <c r="B4" s="1568"/>
      <c r="C4" s="1568"/>
      <c r="D4" s="1568"/>
      <c r="E4" s="1568"/>
      <c r="F4" s="1568"/>
      <c r="G4" s="1568"/>
      <c r="H4" s="1568"/>
      <c r="I4" s="1568"/>
      <c r="J4" s="1568"/>
      <c r="K4" s="1568"/>
      <c r="L4" s="1568"/>
      <c r="M4" s="1568"/>
      <c r="N4" s="14" t="s">
        <v>8</v>
      </c>
      <c r="O4" s="5" t="s">
        <v>149</v>
      </c>
      <c r="P4" s="1574"/>
      <c r="Q4" s="1574"/>
      <c r="R4" s="1574"/>
      <c r="S4" s="1574"/>
      <c r="T4" s="1574"/>
      <c r="U4" s="1574"/>
      <c r="V4" s="1574"/>
      <c r="W4" s="1574"/>
      <c r="X4" s="1574"/>
      <c r="Y4" s="1574"/>
      <c r="Z4" s="1574"/>
      <c r="AA4" s="1574"/>
      <c r="AB4" s="1574"/>
    </row>
    <row r="5" spans="1:28" x14ac:dyDescent="0.35">
      <c r="A5" s="1567" t="s">
        <v>150</v>
      </c>
      <c r="B5" s="1568"/>
      <c r="C5" s="1568"/>
      <c r="D5" s="1568"/>
      <c r="E5" s="1568"/>
      <c r="F5" s="1568"/>
      <c r="G5" s="1568"/>
      <c r="H5" s="1568"/>
      <c r="I5" s="1568"/>
      <c r="J5" s="1568"/>
      <c r="K5" s="1568"/>
      <c r="L5" s="1568"/>
      <c r="M5" s="1568"/>
      <c r="N5" s="14" t="s">
        <v>8</v>
      </c>
      <c r="O5" s="5" t="s">
        <v>170</v>
      </c>
      <c r="P5" s="1574"/>
      <c r="Q5" s="1574"/>
      <c r="R5" s="1574"/>
      <c r="S5" s="1574"/>
      <c r="T5" s="1574"/>
      <c r="U5" s="1574"/>
      <c r="V5" s="1574"/>
      <c r="W5" s="1574"/>
      <c r="X5" s="1574"/>
      <c r="Y5" s="1574"/>
      <c r="Z5" s="1574"/>
      <c r="AA5" s="1574"/>
      <c r="AB5" s="1574"/>
    </row>
    <row r="6" spans="1:28" x14ac:dyDescent="0.35">
      <c r="A6" s="1567" t="s">
        <v>151</v>
      </c>
      <c r="B6" s="1568"/>
      <c r="C6" s="1568"/>
      <c r="D6" s="1568"/>
      <c r="E6" s="1568"/>
      <c r="F6" s="1568"/>
      <c r="G6" s="1568"/>
      <c r="H6" s="1568"/>
      <c r="I6" s="1568"/>
      <c r="J6" s="1568"/>
      <c r="K6" s="1568"/>
      <c r="L6" s="1568"/>
      <c r="M6" s="1568"/>
      <c r="N6" s="14" t="s">
        <v>8</v>
      </c>
      <c r="O6" s="13" t="s">
        <v>171</v>
      </c>
      <c r="P6" s="1574"/>
      <c r="Q6" s="1574"/>
      <c r="R6" s="1574"/>
      <c r="S6" s="1574"/>
      <c r="T6" s="1574"/>
      <c r="U6" s="1574"/>
      <c r="V6" s="1574"/>
      <c r="W6" s="1574"/>
      <c r="X6" s="1574"/>
      <c r="Y6" s="1574"/>
      <c r="Z6" s="1574"/>
      <c r="AA6" s="1574"/>
      <c r="AB6" s="1574"/>
    </row>
    <row r="7" spans="1:28" x14ac:dyDescent="0.35">
      <c r="A7" s="1567" t="s">
        <v>152</v>
      </c>
      <c r="B7" s="1568"/>
      <c r="C7" s="1568"/>
      <c r="D7" s="1568"/>
      <c r="E7" s="1568"/>
      <c r="F7" s="1568"/>
      <c r="G7" s="1568"/>
      <c r="H7" s="1568"/>
      <c r="I7" s="1568"/>
      <c r="J7" s="1568"/>
      <c r="K7" s="1568"/>
      <c r="L7" s="1568"/>
      <c r="M7" s="1568"/>
      <c r="N7" s="14" t="s">
        <v>8</v>
      </c>
      <c r="O7" s="6"/>
      <c r="P7" s="1575"/>
      <c r="Q7" s="1575"/>
      <c r="R7" s="1575"/>
      <c r="S7" s="1575"/>
      <c r="T7" s="1575"/>
      <c r="U7" s="1575"/>
      <c r="V7" s="1575"/>
      <c r="W7" s="1575"/>
      <c r="X7" s="1575"/>
      <c r="Y7" s="1575"/>
      <c r="Z7" s="1575"/>
      <c r="AA7" s="1575"/>
      <c r="AB7" s="1575"/>
    </row>
    <row r="8" spans="1:28" x14ac:dyDescent="0.35">
      <c r="A8" s="1567" t="s">
        <v>153</v>
      </c>
      <c r="B8" s="1568"/>
      <c r="C8" s="1568"/>
      <c r="D8" s="1568"/>
      <c r="E8" s="1568"/>
      <c r="F8" s="1568"/>
      <c r="G8" s="1568"/>
      <c r="H8" s="1568"/>
      <c r="I8" s="1568"/>
      <c r="J8" s="1568"/>
      <c r="K8" s="1568"/>
      <c r="L8" s="1568"/>
      <c r="M8" s="1568"/>
      <c r="N8" s="14" t="s">
        <v>8</v>
      </c>
      <c r="O8" s="7"/>
      <c r="P8" s="1574"/>
      <c r="Q8" s="1574"/>
      <c r="R8" s="1574"/>
      <c r="S8" s="1574"/>
      <c r="T8" s="1574"/>
      <c r="U8" s="1574"/>
      <c r="V8" s="1574"/>
      <c r="W8" s="1574"/>
      <c r="X8" s="1574"/>
      <c r="Y8" s="1574"/>
      <c r="Z8" s="1574"/>
      <c r="AA8" s="1574"/>
      <c r="AB8" s="1574"/>
    </row>
    <row r="9" spans="1:28" x14ac:dyDescent="0.35">
      <c r="A9" s="1567" t="s">
        <v>154</v>
      </c>
      <c r="B9" s="1568"/>
      <c r="C9" s="1568"/>
      <c r="D9" s="1568"/>
      <c r="E9" s="1568"/>
      <c r="F9" s="1568"/>
      <c r="G9" s="1568"/>
      <c r="H9" s="1568"/>
      <c r="I9" s="1568"/>
      <c r="J9" s="1568"/>
      <c r="K9" s="1568"/>
      <c r="L9" s="1568"/>
      <c r="M9" s="1568"/>
      <c r="N9" s="14" t="s">
        <v>8</v>
      </c>
      <c r="O9" s="7"/>
      <c r="P9" s="1574"/>
      <c r="Q9" s="1574"/>
      <c r="R9" s="1574"/>
      <c r="S9" s="1574"/>
      <c r="T9" s="1574"/>
      <c r="U9" s="1574"/>
      <c r="V9" s="1574"/>
      <c r="W9" s="1574"/>
      <c r="X9" s="1574"/>
      <c r="Y9" s="1574"/>
      <c r="Z9" s="1574"/>
      <c r="AA9" s="1574"/>
      <c r="AB9" s="1574"/>
    </row>
    <row r="10" spans="1:28" x14ac:dyDescent="0.35">
      <c r="A10" s="1567" t="s">
        <v>155</v>
      </c>
      <c r="B10" s="1568"/>
      <c r="C10" s="1568"/>
      <c r="D10" s="1568"/>
      <c r="E10" s="1568"/>
      <c r="F10" s="1568"/>
      <c r="G10" s="1568"/>
      <c r="H10" s="1568"/>
      <c r="I10" s="1568"/>
      <c r="J10" s="1568"/>
      <c r="K10" s="1568"/>
      <c r="L10" s="1568"/>
      <c r="M10" s="1568"/>
      <c r="N10" s="14" t="s">
        <v>8</v>
      </c>
      <c r="O10" s="7"/>
      <c r="P10" s="1574"/>
      <c r="Q10" s="1574"/>
      <c r="R10" s="1574"/>
      <c r="S10" s="1574"/>
      <c r="T10" s="1574"/>
      <c r="U10" s="1574"/>
      <c r="V10" s="1574"/>
      <c r="W10" s="1574"/>
      <c r="X10" s="1574"/>
      <c r="Y10" s="1574"/>
      <c r="Z10" s="1574"/>
      <c r="AA10" s="1574"/>
      <c r="AB10" s="1574"/>
    </row>
    <row r="11" spans="1:28" x14ac:dyDescent="0.35">
      <c r="A11" s="1567" t="s">
        <v>156</v>
      </c>
      <c r="B11" s="1568"/>
      <c r="C11" s="1568"/>
      <c r="D11" s="1568"/>
      <c r="E11" s="1568"/>
      <c r="F11" s="1568"/>
      <c r="G11" s="1568"/>
      <c r="H11" s="1568"/>
      <c r="I11" s="1568"/>
      <c r="J11" s="1568"/>
      <c r="K11" s="1568"/>
      <c r="L11" s="1568"/>
      <c r="M11" s="1568"/>
      <c r="N11" s="14" t="s">
        <v>8</v>
      </c>
      <c r="O11" s="9"/>
      <c r="P11" s="1573"/>
      <c r="Q11" s="1573"/>
      <c r="R11" s="1573"/>
      <c r="S11" s="1573"/>
      <c r="T11" s="1573"/>
      <c r="U11" s="1573"/>
      <c r="V11" s="1573"/>
      <c r="W11" s="1573"/>
      <c r="X11" s="1573"/>
      <c r="Y11" s="1573"/>
      <c r="Z11" s="1573"/>
      <c r="AA11" s="1573"/>
      <c r="AB11" s="1573"/>
    </row>
    <row r="12" spans="1:28" x14ac:dyDescent="0.35">
      <c r="A12" s="1569" t="s">
        <v>166</v>
      </c>
      <c r="B12" s="1570"/>
      <c r="C12" s="1570"/>
      <c r="D12" s="1570"/>
      <c r="E12" s="1570"/>
      <c r="F12" s="1570"/>
      <c r="G12" s="1570"/>
      <c r="H12" s="1570"/>
      <c r="I12" s="1570"/>
      <c r="J12" s="1570"/>
      <c r="K12" s="1570"/>
      <c r="L12" s="1570"/>
      <c r="M12" s="1570"/>
      <c r="N12" s="14" t="s">
        <v>8</v>
      </c>
      <c r="O12" s="9"/>
      <c r="P12" s="1571"/>
      <c r="Q12" s="1571"/>
      <c r="R12" s="1571"/>
      <c r="S12" s="1571"/>
      <c r="T12" s="1571"/>
      <c r="U12" s="1571"/>
      <c r="V12" s="1571"/>
      <c r="W12" s="1571"/>
      <c r="X12" s="1571"/>
      <c r="Y12" s="1571"/>
      <c r="Z12" s="1571"/>
      <c r="AA12" s="1571"/>
      <c r="AB12" s="1571"/>
    </row>
    <row r="13" spans="1:28" x14ac:dyDescent="0.35">
      <c r="A13" s="1569" t="s">
        <v>167</v>
      </c>
      <c r="B13" s="1570"/>
      <c r="C13" s="1570"/>
      <c r="D13" s="1570"/>
      <c r="E13" s="1570"/>
      <c r="F13" s="1570"/>
      <c r="G13" s="1570"/>
      <c r="H13" s="1570"/>
      <c r="I13" s="1570"/>
      <c r="J13" s="1570"/>
      <c r="K13" s="1570"/>
      <c r="L13" s="1570"/>
      <c r="M13" s="1570"/>
      <c r="N13" s="14" t="s">
        <v>8</v>
      </c>
      <c r="O13" s="9"/>
      <c r="P13" s="1572"/>
      <c r="Q13" s="1572"/>
      <c r="R13" s="1572"/>
      <c r="S13" s="1572"/>
      <c r="T13" s="1572"/>
      <c r="U13" s="1572"/>
      <c r="V13" s="1572"/>
      <c r="W13" s="1572"/>
      <c r="X13" s="1572"/>
      <c r="Y13" s="1572"/>
      <c r="Z13" s="1572"/>
      <c r="AA13" s="1572"/>
      <c r="AB13" s="1572"/>
    </row>
    <row r="14" spans="1:28" x14ac:dyDescent="0.35">
      <c r="A14" s="1569" t="s">
        <v>165</v>
      </c>
      <c r="B14" s="1570"/>
      <c r="C14" s="1570"/>
      <c r="D14" s="1570"/>
      <c r="E14" s="1570"/>
      <c r="F14" s="1570"/>
      <c r="G14" s="1570"/>
      <c r="H14" s="1570"/>
      <c r="I14" s="1570"/>
      <c r="J14" s="1570"/>
      <c r="K14" s="1570"/>
      <c r="L14" s="1570"/>
      <c r="M14" s="1570"/>
      <c r="N14" s="14" t="s">
        <v>8</v>
      </c>
      <c r="O14" s="9"/>
      <c r="P14" s="1573"/>
      <c r="Q14" s="1573"/>
      <c r="R14" s="1573"/>
      <c r="S14" s="1573"/>
      <c r="T14" s="1573"/>
      <c r="U14" s="1573"/>
      <c r="V14" s="1573"/>
      <c r="W14" s="1573"/>
      <c r="X14" s="1573"/>
      <c r="Y14" s="1573"/>
      <c r="Z14" s="1573"/>
      <c r="AA14" s="1573"/>
      <c r="AB14" s="1573"/>
    </row>
    <row r="15" spans="1:28" x14ac:dyDescent="0.35">
      <c r="A15" s="1569" t="s">
        <v>164</v>
      </c>
      <c r="B15" s="1570"/>
      <c r="C15" s="1570"/>
      <c r="D15" s="1570"/>
      <c r="E15" s="1570"/>
      <c r="F15" s="1570"/>
      <c r="G15" s="1570"/>
      <c r="H15" s="1570"/>
      <c r="I15" s="1570"/>
      <c r="J15" s="1570"/>
      <c r="K15" s="1570"/>
      <c r="L15" s="1570"/>
      <c r="M15" s="1570"/>
      <c r="N15" s="14" t="s">
        <v>8</v>
      </c>
      <c r="O15" s="9"/>
      <c r="P15" s="1573"/>
      <c r="Q15" s="1573"/>
      <c r="R15" s="1573"/>
      <c r="S15" s="1573"/>
      <c r="T15" s="1573"/>
      <c r="U15" s="1573"/>
      <c r="V15" s="1573"/>
      <c r="W15" s="1573"/>
      <c r="X15" s="1573"/>
      <c r="Y15" s="1573"/>
      <c r="Z15" s="1573"/>
      <c r="AA15" s="1573"/>
      <c r="AB15" s="1573"/>
    </row>
    <row r="17" spans="1:55" x14ac:dyDescent="0.35">
      <c r="A17" s="1576" t="s">
        <v>172</v>
      </c>
      <c r="B17" s="1576"/>
      <c r="C17" s="1576"/>
      <c r="D17" s="1576"/>
      <c r="E17" s="1576"/>
      <c r="F17" s="1576"/>
      <c r="G17" s="1576"/>
      <c r="H17" s="1576"/>
      <c r="I17" s="1576"/>
      <c r="J17" s="1576"/>
      <c r="K17" s="1576"/>
      <c r="L17" s="1576"/>
      <c r="M17" s="1576"/>
      <c r="N17" s="1576"/>
      <c r="O17" s="1576"/>
      <c r="P17" s="1576"/>
      <c r="Q17" s="1576"/>
      <c r="R17" s="1576"/>
      <c r="S17" s="1576"/>
      <c r="T17" s="1576"/>
      <c r="U17" s="15"/>
      <c r="V17" s="15"/>
      <c r="W17" s="15"/>
      <c r="X17" s="15"/>
    </row>
    <row r="18" spans="1:55" ht="16" thickBot="1" x14ac:dyDescent="0.4">
      <c r="A18" s="1577" t="s">
        <v>173</v>
      </c>
      <c r="B18" s="1577"/>
      <c r="C18" s="1577"/>
      <c r="D18" s="1577"/>
      <c r="E18" s="1577"/>
      <c r="F18" s="1577"/>
      <c r="G18" s="1577"/>
      <c r="H18" s="1577"/>
      <c r="I18" s="1577"/>
      <c r="J18" s="16"/>
      <c r="K18" s="16"/>
      <c r="L18" s="16"/>
      <c r="M18" s="16"/>
      <c r="N18" s="16"/>
      <c r="O18" s="16"/>
      <c r="P18" s="16"/>
      <c r="Q18" s="16"/>
      <c r="R18" s="16"/>
      <c r="S18" s="16"/>
      <c r="T18" s="17"/>
      <c r="U18" s="18"/>
      <c r="V18" s="18"/>
      <c r="W18" s="18"/>
      <c r="X18" s="18"/>
    </row>
    <row r="19" spans="1:55" ht="16.5" thickTop="1" thickBot="1" x14ac:dyDescent="0.4">
      <c r="A19" s="19"/>
      <c r="B19" s="20"/>
      <c r="C19" s="20"/>
      <c r="D19" s="20"/>
      <c r="E19" s="20"/>
      <c r="F19" s="20"/>
      <c r="G19" s="20"/>
      <c r="H19" s="20"/>
      <c r="I19" s="20"/>
      <c r="J19" s="1560">
        <f>K16</f>
        <v>0</v>
      </c>
      <c r="K19" s="1561"/>
      <c r="L19" s="1562">
        <f>M16</f>
        <v>0</v>
      </c>
      <c r="M19" s="1563"/>
      <c r="N19" s="1564"/>
      <c r="O19" s="1564"/>
      <c r="P19" s="1564"/>
      <c r="Q19" s="1565"/>
      <c r="R19" s="21"/>
      <c r="S19" s="1566">
        <f>M16</f>
        <v>0</v>
      </c>
      <c r="T19" s="1564"/>
      <c r="U19" s="1564"/>
      <c r="V19" s="1564"/>
      <c r="W19" s="1564"/>
      <c r="X19" s="1565"/>
    </row>
    <row r="20" spans="1:55" ht="16.5" thickTop="1" thickBot="1" x14ac:dyDescent="0.4">
      <c r="A20" s="22"/>
      <c r="B20" s="16"/>
      <c r="C20" s="16"/>
      <c r="D20" s="16"/>
      <c r="E20" s="16"/>
      <c r="F20" s="16"/>
      <c r="G20" s="16"/>
      <c r="H20" s="16"/>
      <c r="I20" s="16"/>
      <c r="J20" s="23"/>
      <c r="K20" s="24"/>
      <c r="L20" s="25"/>
      <c r="M20" s="26"/>
      <c r="N20" s="1548"/>
      <c r="O20" s="1548"/>
      <c r="P20" s="1549"/>
      <c r="Q20" s="1550"/>
      <c r="R20" s="27"/>
      <c r="S20" s="1551" t="s">
        <v>174</v>
      </c>
      <c r="T20" s="1548"/>
      <c r="U20" s="1548"/>
      <c r="V20" s="1552" t="s">
        <v>175</v>
      </c>
      <c r="W20" s="1549"/>
      <c r="X20" s="1550"/>
    </row>
    <row r="21" spans="1:55" x14ac:dyDescent="0.35">
      <c r="A21" s="28" t="s">
        <v>176</v>
      </c>
      <c r="B21" s="29"/>
      <c r="C21" s="29"/>
      <c r="D21" s="29"/>
      <c r="E21" s="29"/>
      <c r="F21" s="29"/>
      <c r="G21" s="29"/>
      <c r="H21" s="29"/>
      <c r="I21" s="29"/>
      <c r="J21" s="1553" t="e">
        <f>#REF!/1000</f>
        <v>#REF!</v>
      </c>
      <c r="K21" s="1554"/>
      <c r="L21" s="1555">
        <f>S21/1000</f>
        <v>0</v>
      </c>
      <c r="M21" s="1556"/>
      <c r="N21" s="1557"/>
      <c r="O21" s="1558"/>
      <c r="P21" s="1557"/>
      <c r="Q21" s="1557"/>
      <c r="R21" s="27"/>
      <c r="S21" s="1557">
        <v>0</v>
      </c>
      <c r="T21" s="1557"/>
      <c r="U21" s="1557"/>
      <c r="V21" s="1559">
        <v>0</v>
      </c>
      <c r="W21" s="1557"/>
      <c r="X21" s="1558"/>
    </row>
    <row r="22" spans="1:55" x14ac:dyDescent="0.35">
      <c r="A22" s="30" t="s">
        <v>177</v>
      </c>
      <c r="B22" s="31"/>
      <c r="C22" s="31"/>
      <c r="D22" s="31"/>
      <c r="E22" s="31"/>
      <c r="F22" s="31"/>
      <c r="G22" s="31"/>
      <c r="H22" s="31"/>
      <c r="I22" s="31"/>
      <c r="J22" s="1544" t="e">
        <f>#REF!/1000</f>
        <v>#REF!</v>
      </c>
      <c r="K22" s="1545"/>
      <c r="L22" s="1546">
        <f>S22/1000</f>
        <v>0</v>
      </c>
      <c r="M22" s="1547"/>
      <c r="N22" s="1541"/>
      <c r="O22" s="1542"/>
      <c r="P22" s="1541"/>
      <c r="Q22" s="1541"/>
      <c r="R22" s="27"/>
      <c r="S22" s="1541">
        <v>0</v>
      </c>
      <c r="T22" s="1541"/>
      <c r="U22" s="1541"/>
      <c r="V22" s="1543">
        <v>0</v>
      </c>
      <c r="W22" s="1541"/>
      <c r="X22" s="1542"/>
    </row>
    <row r="23" spans="1:55" x14ac:dyDescent="0.35">
      <c r="A23" s="30" t="s">
        <v>178</v>
      </c>
      <c r="B23" s="31"/>
      <c r="C23" s="31"/>
      <c r="D23" s="31"/>
      <c r="E23" s="31"/>
      <c r="F23" s="31"/>
      <c r="G23" s="31"/>
      <c r="H23" s="31"/>
      <c r="I23" s="31"/>
      <c r="J23" s="1544" t="e">
        <f>#REF!/1000</f>
        <v>#REF!</v>
      </c>
      <c r="K23" s="1545"/>
      <c r="L23" s="1546">
        <f>S23/1000</f>
        <v>0</v>
      </c>
      <c r="M23" s="1547"/>
      <c r="N23" s="1541"/>
      <c r="O23" s="1542"/>
      <c r="P23" s="1541"/>
      <c r="Q23" s="1541"/>
      <c r="R23" s="27"/>
      <c r="S23" s="1541">
        <v>0</v>
      </c>
      <c r="T23" s="1541"/>
      <c r="U23" s="1541"/>
      <c r="V23" s="1543">
        <v>0</v>
      </c>
      <c r="W23" s="1541"/>
      <c r="X23" s="1542"/>
    </row>
    <row r="24" spans="1:55" x14ac:dyDescent="0.35">
      <c r="A24" s="30" t="s">
        <v>179</v>
      </c>
      <c r="B24" s="31"/>
      <c r="C24" s="31"/>
      <c r="D24" s="31"/>
      <c r="E24" s="31"/>
      <c r="F24" s="31"/>
      <c r="G24" s="31"/>
      <c r="H24" s="31"/>
      <c r="I24" s="31"/>
      <c r="J24" s="1544" t="e">
        <f>#REF!/1000</f>
        <v>#REF!</v>
      </c>
      <c r="K24" s="1545"/>
      <c r="L24" s="1546">
        <f>S24/1000</f>
        <v>0</v>
      </c>
      <c r="M24" s="1547"/>
      <c r="N24" s="1541"/>
      <c r="O24" s="1542"/>
      <c r="P24" s="1541"/>
      <c r="Q24" s="1541"/>
      <c r="R24" s="27"/>
      <c r="S24" s="1541">
        <v>0</v>
      </c>
      <c r="T24" s="1541"/>
      <c r="U24" s="1541"/>
      <c r="V24" s="1543">
        <v>0</v>
      </c>
      <c r="W24" s="1541"/>
      <c r="X24" s="1542"/>
    </row>
    <row r="25" spans="1:55" ht="16" thickBot="1" x14ac:dyDescent="0.4">
      <c r="A25" s="32" t="s">
        <v>180</v>
      </c>
      <c r="B25" s="33"/>
      <c r="C25" s="33"/>
      <c r="D25" s="33"/>
      <c r="E25" s="33"/>
      <c r="F25" s="33"/>
      <c r="G25" s="33"/>
      <c r="H25" s="33"/>
      <c r="I25" s="33"/>
      <c r="J25" s="1537" t="e">
        <f>#REF!/1000</f>
        <v>#REF!</v>
      </c>
      <c r="K25" s="1538"/>
      <c r="L25" s="1539">
        <f>S25/1000</f>
        <v>0</v>
      </c>
      <c r="M25" s="1540"/>
      <c r="N25" s="1541"/>
      <c r="O25" s="1542"/>
      <c r="P25" s="1541"/>
      <c r="Q25" s="1541"/>
      <c r="R25" s="27"/>
      <c r="S25" s="1541">
        <v>0</v>
      </c>
      <c r="T25" s="1541"/>
      <c r="U25" s="1541"/>
      <c r="V25" s="1543">
        <v>0</v>
      </c>
      <c r="W25" s="1541"/>
      <c r="X25" s="1542"/>
    </row>
    <row r="26" spans="1:55" ht="16.5" thickTop="1" thickBot="1" x14ac:dyDescent="0.4">
      <c r="A26" s="34"/>
      <c r="B26" s="35"/>
      <c r="C26" s="36"/>
      <c r="D26" s="37"/>
      <c r="E26" s="37"/>
      <c r="F26" s="37"/>
      <c r="G26" s="37"/>
      <c r="H26" s="37"/>
      <c r="I26" s="37"/>
      <c r="J26" s="1529" t="e">
        <f>SUM(J21:J25)</f>
        <v>#REF!</v>
      </c>
      <c r="K26" s="1530"/>
      <c r="L26" s="1531">
        <f>SUM(L21:L25)</f>
        <v>0</v>
      </c>
      <c r="M26" s="1532"/>
      <c r="N26" s="1533"/>
      <c r="O26" s="1534"/>
      <c r="P26" s="1533"/>
      <c r="Q26" s="1533"/>
      <c r="R26" s="38"/>
      <c r="S26" s="1533">
        <f>SUM(S21:S25)</f>
        <v>0</v>
      </c>
      <c r="T26" s="1533"/>
      <c r="U26" s="1533"/>
      <c r="V26" s="1535">
        <f>SUM(V21:V25)</f>
        <v>0</v>
      </c>
      <c r="W26" s="1533"/>
      <c r="X26" s="1536"/>
    </row>
    <row r="27" spans="1:55" ht="16.5" thickTop="1" thickBot="1" x14ac:dyDescent="0.4"/>
    <row r="28" spans="1:55" ht="16" thickTop="1" x14ac:dyDescent="0.35">
      <c r="A28" s="1502" t="s">
        <v>217</v>
      </c>
      <c r="B28" s="1503"/>
      <c r="C28" s="1503"/>
      <c r="D28" s="1503"/>
      <c r="E28" s="1503"/>
      <c r="F28" s="1503"/>
      <c r="G28" s="1503"/>
      <c r="H28" s="1503"/>
      <c r="I28" s="1503"/>
      <c r="J28" s="1503"/>
      <c r="K28" s="1503"/>
      <c r="L28" s="1503"/>
      <c r="M28" s="1503"/>
      <c r="N28" s="43"/>
      <c r="O28" s="1504" t="s">
        <v>181</v>
      </c>
      <c r="P28" s="1503"/>
      <c r="Q28" s="1503"/>
      <c r="R28" s="1505"/>
      <c r="S28" s="1505"/>
      <c r="T28" s="1505"/>
      <c r="U28" s="1505"/>
      <c r="V28" s="1505"/>
      <c r="W28" s="1505"/>
      <c r="X28" s="1505"/>
      <c r="Y28" s="1505"/>
      <c r="Z28" s="1505"/>
      <c r="AA28" s="1506"/>
      <c r="AB28" s="3"/>
      <c r="AC28" s="1502" t="s">
        <v>217</v>
      </c>
      <c r="AD28" s="1503"/>
      <c r="AE28" s="1503"/>
      <c r="AF28" s="1503"/>
      <c r="AG28" s="1503"/>
      <c r="AH28" s="1503"/>
      <c r="AI28" s="1503"/>
      <c r="AJ28" s="1503"/>
      <c r="AK28" s="1503"/>
      <c r="AL28" s="1503"/>
      <c r="AM28" s="1503"/>
      <c r="AN28" s="1503"/>
      <c r="AO28" s="1503"/>
      <c r="AP28" s="44"/>
      <c r="AQ28" s="1504" t="s">
        <v>181</v>
      </c>
      <c r="AR28" s="1503"/>
      <c r="AS28" s="1503"/>
      <c r="AT28" s="1503"/>
      <c r="AU28" s="1503"/>
      <c r="AV28" s="1503"/>
      <c r="AW28" s="1503"/>
      <c r="AX28" s="1503"/>
      <c r="AY28" s="1503"/>
      <c r="AZ28" s="1503"/>
      <c r="BA28" s="1503"/>
      <c r="BB28" s="1503"/>
      <c r="BC28" s="1528"/>
    </row>
    <row r="29" spans="1:55" ht="23.25" customHeight="1" x14ac:dyDescent="0.45">
      <c r="A29" s="1526" t="s">
        <v>182</v>
      </c>
      <c r="B29" s="1508"/>
      <c r="C29" s="1508"/>
      <c r="D29" s="1508"/>
      <c r="E29" s="1508"/>
      <c r="F29" s="1508"/>
      <c r="G29" s="1508"/>
      <c r="H29" s="1508"/>
      <c r="I29" s="1508"/>
      <c r="J29" s="1508"/>
      <c r="K29" s="1508"/>
      <c r="L29" s="1508"/>
      <c r="M29" s="1509"/>
      <c r="N29" s="1509"/>
      <c r="O29" s="1510"/>
      <c r="P29" s="1510"/>
      <c r="Q29" s="1510"/>
      <c r="R29" s="1510"/>
      <c r="S29" s="1510"/>
      <c r="T29" s="1510"/>
      <c r="U29" s="1510"/>
      <c r="V29" s="1510"/>
      <c r="W29" s="1510"/>
      <c r="X29" s="1510"/>
      <c r="Y29" s="1510"/>
      <c r="Z29" s="1510"/>
      <c r="AA29" s="1511"/>
      <c r="AC29" s="1526" t="s">
        <v>216</v>
      </c>
      <c r="AD29" s="1527"/>
      <c r="AE29" s="1527"/>
      <c r="AF29" s="1527"/>
      <c r="AG29" s="1527"/>
      <c r="AH29" s="1527"/>
      <c r="AI29" s="1527"/>
      <c r="AJ29" s="1527"/>
      <c r="AK29" s="1527"/>
      <c r="AL29" s="1527"/>
      <c r="AM29" s="1527"/>
      <c r="AN29" s="1527"/>
      <c r="AO29" s="1527"/>
      <c r="AP29" s="1527"/>
      <c r="AQ29" s="1527"/>
      <c r="AR29" s="1527"/>
      <c r="AS29" s="1527"/>
      <c r="AT29" s="1527"/>
      <c r="AU29" s="1527"/>
      <c r="AV29" s="1527"/>
      <c r="AW29" s="1527"/>
      <c r="AX29" s="1527"/>
      <c r="AY29" s="1527"/>
      <c r="AZ29" s="1527"/>
      <c r="BA29" s="1527"/>
      <c r="BB29" s="1527"/>
      <c r="BC29" s="1511"/>
    </row>
    <row r="30" spans="1:55" x14ac:dyDescent="0.35">
      <c r="A30" s="1512" t="s">
        <v>185</v>
      </c>
      <c r="B30" s="1513"/>
      <c r="C30" s="1514" t="s">
        <v>46</v>
      </c>
      <c r="D30" s="1515"/>
      <c r="E30" s="1515"/>
      <c r="F30" s="1516"/>
      <c r="G30" s="1514" t="s">
        <v>46</v>
      </c>
      <c r="H30" s="1515"/>
      <c r="I30" s="1516"/>
      <c r="J30" s="1514" t="s">
        <v>183</v>
      </c>
      <c r="K30" s="1515"/>
      <c r="L30" s="1515"/>
      <c r="M30" s="1516"/>
      <c r="N30" s="39"/>
      <c r="O30" s="1512" t="s">
        <v>185</v>
      </c>
      <c r="P30" s="1513"/>
      <c r="Q30" s="1514" t="s">
        <v>46</v>
      </c>
      <c r="R30" s="1515"/>
      <c r="S30" s="1515"/>
      <c r="T30" s="1516"/>
      <c r="U30" s="1514" t="s">
        <v>46</v>
      </c>
      <c r="V30" s="1515"/>
      <c r="W30" s="1516"/>
      <c r="X30" s="1514" t="s">
        <v>183</v>
      </c>
      <c r="Y30" s="1515"/>
      <c r="Z30" s="1515"/>
      <c r="AA30" s="1516"/>
      <c r="AC30" s="1512" t="s">
        <v>185</v>
      </c>
      <c r="AD30" s="1513"/>
      <c r="AE30" s="1514" t="s">
        <v>46</v>
      </c>
      <c r="AF30" s="1515"/>
      <c r="AG30" s="1515"/>
      <c r="AH30" s="1516"/>
      <c r="AI30" s="1514" t="s">
        <v>46</v>
      </c>
      <c r="AJ30" s="1515"/>
      <c r="AK30" s="1516"/>
      <c r="AL30" s="1514" t="s">
        <v>183</v>
      </c>
      <c r="AM30" s="1515"/>
      <c r="AN30" s="1515"/>
      <c r="AO30" s="1516"/>
      <c r="AP30" s="39"/>
      <c r="AQ30" s="1512" t="s">
        <v>185</v>
      </c>
      <c r="AR30" s="1513"/>
      <c r="AS30" s="1514" t="s">
        <v>46</v>
      </c>
      <c r="AT30" s="1515"/>
      <c r="AU30" s="1515"/>
      <c r="AV30" s="1516"/>
      <c r="AW30" s="1514" t="s">
        <v>46</v>
      </c>
      <c r="AX30" s="1515"/>
      <c r="AY30" s="1516"/>
      <c r="AZ30" s="1514" t="s">
        <v>183</v>
      </c>
      <c r="BA30" s="1515"/>
      <c r="BB30" s="1515"/>
      <c r="BC30" s="1516"/>
    </row>
    <row r="31" spans="1:55" x14ac:dyDescent="0.35">
      <c r="A31" s="1498" t="s">
        <v>187</v>
      </c>
      <c r="B31" s="1499"/>
      <c r="C31" s="1490">
        <v>0</v>
      </c>
      <c r="D31" s="1491"/>
      <c r="E31" s="1491"/>
      <c r="F31" s="1492"/>
      <c r="G31" s="1490">
        <v>0</v>
      </c>
      <c r="H31" s="1491"/>
      <c r="I31" s="1492"/>
      <c r="J31" s="1490">
        <f>C31-G31</f>
        <v>0</v>
      </c>
      <c r="K31" s="1491"/>
      <c r="L31" s="1491"/>
      <c r="M31" s="1492"/>
      <c r="N31" s="40"/>
      <c r="O31" s="1498" t="s">
        <v>187</v>
      </c>
      <c r="P31" s="1499"/>
      <c r="Q31" s="1490">
        <v>0</v>
      </c>
      <c r="R31" s="1491"/>
      <c r="S31" s="1491"/>
      <c r="T31" s="1492"/>
      <c r="U31" s="1490">
        <v>0</v>
      </c>
      <c r="V31" s="1491"/>
      <c r="W31" s="1492"/>
      <c r="X31" s="1490">
        <f>Q31-U31</f>
        <v>0</v>
      </c>
      <c r="Y31" s="1491"/>
      <c r="Z31" s="1491"/>
      <c r="AA31" s="1492"/>
      <c r="AC31" s="1498">
        <v>511211</v>
      </c>
      <c r="AD31" s="1499"/>
      <c r="AE31" s="1490">
        <v>0</v>
      </c>
      <c r="AF31" s="1491"/>
      <c r="AG31" s="1491"/>
      <c r="AH31" s="1492"/>
      <c r="AI31" s="1490">
        <v>0</v>
      </c>
      <c r="AJ31" s="1491"/>
      <c r="AK31" s="1492"/>
      <c r="AL31" s="1490">
        <f>AE31-AI31</f>
        <v>0</v>
      </c>
      <c r="AM31" s="1491"/>
      <c r="AN31" s="1491"/>
      <c r="AO31" s="1492"/>
      <c r="AP31" s="40"/>
      <c r="AQ31" s="1498">
        <v>511211</v>
      </c>
      <c r="AR31" s="1499"/>
      <c r="AS31" s="1490">
        <v>0</v>
      </c>
      <c r="AT31" s="1491"/>
      <c r="AU31" s="1491"/>
      <c r="AV31" s="1492"/>
      <c r="AW31" s="1490">
        <v>0</v>
      </c>
      <c r="AX31" s="1491"/>
      <c r="AY31" s="1492"/>
      <c r="AZ31" s="1490">
        <f>AS31-AW31</f>
        <v>0</v>
      </c>
      <c r="BA31" s="1491"/>
      <c r="BB31" s="1491"/>
      <c r="BC31" s="1492"/>
    </row>
    <row r="32" spans="1:55" x14ac:dyDescent="0.35">
      <c r="A32" s="1498" t="s">
        <v>188</v>
      </c>
      <c r="B32" s="1499"/>
      <c r="C32" s="1490">
        <v>0</v>
      </c>
      <c r="D32" s="1491"/>
      <c r="E32" s="1491"/>
      <c r="F32" s="1492"/>
      <c r="G32" s="1490">
        <v>0</v>
      </c>
      <c r="H32" s="1491"/>
      <c r="I32" s="1492"/>
      <c r="J32" s="1490">
        <f t="shared" ref="J32:J48" si="0">C32-G32</f>
        <v>0</v>
      </c>
      <c r="K32" s="1491"/>
      <c r="L32" s="1491"/>
      <c r="M32" s="1492"/>
      <c r="N32" s="40"/>
      <c r="O32" s="1498" t="s">
        <v>188</v>
      </c>
      <c r="P32" s="1499"/>
      <c r="Q32" s="1490">
        <v>0</v>
      </c>
      <c r="R32" s="1491"/>
      <c r="S32" s="1491"/>
      <c r="T32" s="1492"/>
      <c r="U32" s="1490">
        <v>0</v>
      </c>
      <c r="V32" s="1491"/>
      <c r="W32" s="1492"/>
      <c r="X32" s="1490">
        <f t="shared" ref="X32:X48" si="1">Q32-U32</f>
        <v>0</v>
      </c>
      <c r="Y32" s="1491"/>
      <c r="Z32" s="1491"/>
      <c r="AA32" s="1492"/>
      <c r="AC32" s="1498">
        <v>511219</v>
      </c>
      <c r="AD32" s="1499"/>
      <c r="AE32" s="1490">
        <v>0</v>
      </c>
      <c r="AF32" s="1491"/>
      <c r="AG32" s="1491"/>
      <c r="AH32" s="1492"/>
      <c r="AI32" s="1490">
        <v>0</v>
      </c>
      <c r="AJ32" s="1491"/>
      <c r="AK32" s="1492"/>
      <c r="AL32" s="1490">
        <f t="shared" ref="AL32:AL62" si="2">AE32-AI32</f>
        <v>0</v>
      </c>
      <c r="AM32" s="1491"/>
      <c r="AN32" s="1491"/>
      <c r="AO32" s="1492"/>
      <c r="AP32" s="40"/>
      <c r="AQ32" s="1498">
        <v>511219</v>
      </c>
      <c r="AR32" s="1499"/>
      <c r="AS32" s="1490">
        <v>0</v>
      </c>
      <c r="AT32" s="1491"/>
      <c r="AU32" s="1491"/>
      <c r="AV32" s="1492"/>
      <c r="AW32" s="1490">
        <v>0</v>
      </c>
      <c r="AX32" s="1491"/>
      <c r="AY32" s="1492"/>
      <c r="AZ32" s="1490">
        <f t="shared" ref="AZ32:AZ60" si="3">AS32-AW32</f>
        <v>0</v>
      </c>
      <c r="BA32" s="1491"/>
      <c r="BB32" s="1491"/>
      <c r="BC32" s="1492"/>
    </row>
    <row r="33" spans="1:55" x14ac:dyDescent="0.35">
      <c r="A33" s="1498" t="s">
        <v>189</v>
      </c>
      <c r="B33" s="1499"/>
      <c r="C33" s="1490">
        <v>0</v>
      </c>
      <c r="D33" s="1491"/>
      <c r="E33" s="1491"/>
      <c r="F33" s="1492"/>
      <c r="G33" s="1490">
        <v>0</v>
      </c>
      <c r="H33" s="1491"/>
      <c r="I33" s="1492"/>
      <c r="J33" s="1490">
        <f t="shared" si="0"/>
        <v>0</v>
      </c>
      <c r="K33" s="1491"/>
      <c r="L33" s="1491"/>
      <c r="M33" s="1492"/>
      <c r="N33" s="40"/>
      <c r="O33" s="1498" t="s">
        <v>189</v>
      </c>
      <c r="P33" s="1499"/>
      <c r="Q33" s="1490">
        <v>0</v>
      </c>
      <c r="R33" s="1491"/>
      <c r="S33" s="1491"/>
      <c r="T33" s="1492"/>
      <c r="U33" s="1490">
        <v>0</v>
      </c>
      <c r="V33" s="1491"/>
      <c r="W33" s="1492"/>
      <c r="X33" s="1490">
        <f t="shared" si="1"/>
        <v>0</v>
      </c>
      <c r="Y33" s="1491"/>
      <c r="Z33" s="1491"/>
      <c r="AA33" s="1492"/>
      <c r="AC33" s="1498">
        <v>511221</v>
      </c>
      <c r="AD33" s="1499"/>
      <c r="AE33" s="1490">
        <v>0</v>
      </c>
      <c r="AF33" s="1491"/>
      <c r="AG33" s="1491"/>
      <c r="AH33" s="1492"/>
      <c r="AI33" s="1490">
        <v>0</v>
      </c>
      <c r="AJ33" s="1491"/>
      <c r="AK33" s="1492"/>
      <c r="AL33" s="1490">
        <f t="shared" si="2"/>
        <v>0</v>
      </c>
      <c r="AM33" s="1491"/>
      <c r="AN33" s="1491"/>
      <c r="AO33" s="1492"/>
      <c r="AP33" s="40"/>
      <c r="AQ33" s="1498">
        <v>511221</v>
      </c>
      <c r="AR33" s="1499"/>
      <c r="AS33" s="1490">
        <v>0</v>
      </c>
      <c r="AT33" s="1491"/>
      <c r="AU33" s="1491"/>
      <c r="AV33" s="1492"/>
      <c r="AW33" s="1490">
        <v>0</v>
      </c>
      <c r="AX33" s="1491"/>
      <c r="AY33" s="1492"/>
      <c r="AZ33" s="1490">
        <f t="shared" si="3"/>
        <v>0</v>
      </c>
      <c r="BA33" s="1491"/>
      <c r="BB33" s="1491"/>
      <c r="BC33" s="1492"/>
    </row>
    <row r="34" spans="1:55" x14ac:dyDescent="0.35">
      <c r="A34" s="1498" t="s">
        <v>190</v>
      </c>
      <c r="B34" s="1499"/>
      <c r="C34" s="1490">
        <v>0</v>
      </c>
      <c r="D34" s="1491"/>
      <c r="E34" s="1491"/>
      <c r="F34" s="1492"/>
      <c r="G34" s="1490">
        <v>0</v>
      </c>
      <c r="H34" s="1491"/>
      <c r="I34" s="1492"/>
      <c r="J34" s="1490">
        <f t="shared" si="0"/>
        <v>0</v>
      </c>
      <c r="K34" s="1491"/>
      <c r="L34" s="1491"/>
      <c r="M34" s="1492"/>
      <c r="N34" s="40"/>
      <c r="O34" s="1498" t="s">
        <v>190</v>
      </c>
      <c r="P34" s="1499"/>
      <c r="Q34" s="1490">
        <v>0</v>
      </c>
      <c r="R34" s="1491"/>
      <c r="S34" s="1491"/>
      <c r="T34" s="1492"/>
      <c r="U34" s="1490">
        <v>0</v>
      </c>
      <c r="V34" s="1491"/>
      <c r="W34" s="1492"/>
      <c r="X34" s="1490">
        <f t="shared" si="1"/>
        <v>0</v>
      </c>
      <c r="Y34" s="1491"/>
      <c r="Z34" s="1491"/>
      <c r="AA34" s="1492"/>
      <c r="AC34" s="1498">
        <v>511222</v>
      </c>
      <c r="AD34" s="1499"/>
      <c r="AE34" s="1490">
        <v>0</v>
      </c>
      <c r="AF34" s="1491"/>
      <c r="AG34" s="1491"/>
      <c r="AH34" s="1492"/>
      <c r="AI34" s="1490">
        <v>0</v>
      </c>
      <c r="AJ34" s="1491"/>
      <c r="AK34" s="1492"/>
      <c r="AL34" s="1490">
        <f t="shared" si="2"/>
        <v>0</v>
      </c>
      <c r="AM34" s="1491"/>
      <c r="AN34" s="1491"/>
      <c r="AO34" s="1492"/>
      <c r="AP34" s="40"/>
      <c r="AQ34" s="1498">
        <v>511222</v>
      </c>
      <c r="AR34" s="1499"/>
      <c r="AS34" s="1490">
        <v>0</v>
      </c>
      <c r="AT34" s="1491"/>
      <c r="AU34" s="1491"/>
      <c r="AV34" s="1492"/>
      <c r="AW34" s="1490">
        <v>0</v>
      </c>
      <c r="AX34" s="1491"/>
      <c r="AY34" s="1492"/>
      <c r="AZ34" s="1490">
        <f t="shared" si="3"/>
        <v>0</v>
      </c>
      <c r="BA34" s="1491"/>
      <c r="BB34" s="1491"/>
      <c r="BC34" s="1492"/>
    </row>
    <row r="35" spans="1:55" x14ac:dyDescent="0.35">
      <c r="A35" s="1498" t="s">
        <v>191</v>
      </c>
      <c r="B35" s="1499"/>
      <c r="C35" s="1495">
        <v>0</v>
      </c>
      <c r="D35" s="1496"/>
      <c r="E35" s="1496"/>
      <c r="F35" s="1497"/>
      <c r="G35" s="1495">
        <v>0</v>
      </c>
      <c r="H35" s="1496"/>
      <c r="I35" s="1497"/>
      <c r="J35" s="1495">
        <f t="shared" si="0"/>
        <v>0</v>
      </c>
      <c r="K35" s="1496"/>
      <c r="L35" s="1496"/>
      <c r="M35" s="1497"/>
      <c r="N35" s="41"/>
      <c r="O35" s="1498" t="s">
        <v>191</v>
      </c>
      <c r="P35" s="1499"/>
      <c r="Q35" s="1495">
        <v>0</v>
      </c>
      <c r="R35" s="1496"/>
      <c r="S35" s="1496"/>
      <c r="T35" s="1497"/>
      <c r="U35" s="1495">
        <v>0</v>
      </c>
      <c r="V35" s="1496"/>
      <c r="W35" s="1497"/>
      <c r="X35" s="1495">
        <f t="shared" si="1"/>
        <v>0</v>
      </c>
      <c r="Y35" s="1496"/>
      <c r="Z35" s="1496"/>
      <c r="AA35" s="1497"/>
      <c r="AC35" s="1498">
        <v>511223</v>
      </c>
      <c r="AD35" s="1499"/>
      <c r="AE35" s="1495">
        <v>0</v>
      </c>
      <c r="AF35" s="1496"/>
      <c r="AG35" s="1496"/>
      <c r="AH35" s="1497"/>
      <c r="AI35" s="1495">
        <v>0</v>
      </c>
      <c r="AJ35" s="1496"/>
      <c r="AK35" s="1497"/>
      <c r="AL35" s="1495">
        <f t="shared" si="2"/>
        <v>0</v>
      </c>
      <c r="AM35" s="1496"/>
      <c r="AN35" s="1496"/>
      <c r="AO35" s="1497"/>
      <c r="AP35" s="41"/>
      <c r="AQ35" s="1498">
        <v>511223</v>
      </c>
      <c r="AR35" s="1499"/>
      <c r="AS35" s="1495">
        <v>0</v>
      </c>
      <c r="AT35" s="1496"/>
      <c r="AU35" s="1496"/>
      <c r="AV35" s="1497"/>
      <c r="AW35" s="1495">
        <v>0</v>
      </c>
      <c r="AX35" s="1496"/>
      <c r="AY35" s="1497"/>
      <c r="AZ35" s="1495">
        <f t="shared" si="3"/>
        <v>0</v>
      </c>
      <c r="BA35" s="1496"/>
      <c r="BB35" s="1496"/>
      <c r="BC35" s="1497"/>
    </row>
    <row r="36" spans="1:55" x14ac:dyDescent="0.35">
      <c r="A36" s="1498" t="s">
        <v>192</v>
      </c>
      <c r="B36" s="1499"/>
      <c r="C36" s="1490">
        <v>0</v>
      </c>
      <c r="D36" s="1491"/>
      <c r="E36" s="1491"/>
      <c r="F36" s="1492"/>
      <c r="G36" s="1490">
        <v>0</v>
      </c>
      <c r="H36" s="1491"/>
      <c r="I36" s="1492"/>
      <c r="J36" s="1490">
        <f t="shared" si="0"/>
        <v>0</v>
      </c>
      <c r="K36" s="1491"/>
      <c r="L36" s="1491"/>
      <c r="M36" s="1492"/>
      <c r="N36" s="40"/>
      <c r="O36" s="1498" t="s">
        <v>192</v>
      </c>
      <c r="P36" s="1499"/>
      <c r="Q36" s="1490">
        <v>0</v>
      </c>
      <c r="R36" s="1491"/>
      <c r="S36" s="1491"/>
      <c r="T36" s="1492"/>
      <c r="U36" s="1490">
        <v>0</v>
      </c>
      <c r="V36" s="1491"/>
      <c r="W36" s="1492"/>
      <c r="X36" s="1490">
        <f t="shared" si="1"/>
        <v>0</v>
      </c>
      <c r="Y36" s="1491"/>
      <c r="Z36" s="1491"/>
      <c r="AA36" s="1492"/>
      <c r="AC36" s="1498">
        <v>511224</v>
      </c>
      <c r="AD36" s="1499"/>
      <c r="AE36" s="1490">
        <v>0</v>
      </c>
      <c r="AF36" s="1491"/>
      <c r="AG36" s="1491"/>
      <c r="AH36" s="1492"/>
      <c r="AI36" s="1490">
        <v>0</v>
      </c>
      <c r="AJ36" s="1491"/>
      <c r="AK36" s="1492"/>
      <c r="AL36" s="1490">
        <f t="shared" si="2"/>
        <v>0</v>
      </c>
      <c r="AM36" s="1491"/>
      <c r="AN36" s="1491"/>
      <c r="AO36" s="1492"/>
      <c r="AP36" s="40"/>
      <c r="AQ36" s="1498">
        <v>511224</v>
      </c>
      <c r="AR36" s="1499"/>
      <c r="AS36" s="1490">
        <v>0</v>
      </c>
      <c r="AT36" s="1491"/>
      <c r="AU36" s="1491"/>
      <c r="AV36" s="1492"/>
      <c r="AW36" s="1490">
        <v>0</v>
      </c>
      <c r="AX36" s="1491"/>
      <c r="AY36" s="1492"/>
      <c r="AZ36" s="1490">
        <f t="shared" si="3"/>
        <v>0</v>
      </c>
      <c r="BA36" s="1491"/>
      <c r="BB36" s="1491"/>
      <c r="BC36" s="1492"/>
    </row>
    <row r="37" spans="1:55" x14ac:dyDescent="0.35">
      <c r="A37" s="1498" t="s">
        <v>193</v>
      </c>
      <c r="B37" s="1499"/>
      <c r="C37" s="1490">
        <v>0</v>
      </c>
      <c r="D37" s="1491"/>
      <c r="E37" s="1491"/>
      <c r="F37" s="1492"/>
      <c r="G37" s="1490">
        <v>0</v>
      </c>
      <c r="H37" s="1491"/>
      <c r="I37" s="1492"/>
      <c r="J37" s="1490">
        <f t="shared" si="0"/>
        <v>0</v>
      </c>
      <c r="K37" s="1491"/>
      <c r="L37" s="1491"/>
      <c r="M37" s="1492"/>
      <c r="N37" s="40"/>
      <c r="O37" s="1498" t="s">
        <v>193</v>
      </c>
      <c r="P37" s="1499"/>
      <c r="Q37" s="1490">
        <v>0</v>
      </c>
      <c r="R37" s="1491"/>
      <c r="S37" s="1491"/>
      <c r="T37" s="1492"/>
      <c r="U37" s="1490">
        <v>0</v>
      </c>
      <c r="V37" s="1491"/>
      <c r="W37" s="1492"/>
      <c r="X37" s="1490">
        <f t="shared" si="1"/>
        <v>0</v>
      </c>
      <c r="Y37" s="1491"/>
      <c r="Z37" s="1491"/>
      <c r="AA37" s="1492"/>
      <c r="AC37" s="1498">
        <v>511225</v>
      </c>
      <c r="AD37" s="1499"/>
      <c r="AE37" s="1490">
        <v>0</v>
      </c>
      <c r="AF37" s="1491"/>
      <c r="AG37" s="1491"/>
      <c r="AH37" s="1492"/>
      <c r="AI37" s="1490">
        <v>0</v>
      </c>
      <c r="AJ37" s="1491"/>
      <c r="AK37" s="1492"/>
      <c r="AL37" s="1490">
        <f t="shared" si="2"/>
        <v>0</v>
      </c>
      <c r="AM37" s="1491"/>
      <c r="AN37" s="1491"/>
      <c r="AO37" s="1492"/>
      <c r="AP37" s="40"/>
      <c r="AQ37" s="1498">
        <v>511225</v>
      </c>
      <c r="AR37" s="1499"/>
      <c r="AS37" s="1490">
        <v>0</v>
      </c>
      <c r="AT37" s="1491"/>
      <c r="AU37" s="1491"/>
      <c r="AV37" s="1492"/>
      <c r="AW37" s="1490">
        <v>0</v>
      </c>
      <c r="AX37" s="1491"/>
      <c r="AY37" s="1492"/>
      <c r="AZ37" s="1490">
        <f t="shared" si="3"/>
        <v>0</v>
      </c>
      <c r="BA37" s="1491"/>
      <c r="BB37" s="1491"/>
      <c r="BC37" s="1492"/>
    </row>
    <row r="38" spans="1:55" x14ac:dyDescent="0.35">
      <c r="A38" s="1498" t="s">
        <v>194</v>
      </c>
      <c r="B38" s="1499"/>
      <c r="C38" s="1490">
        <v>0</v>
      </c>
      <c r="D38" s="1491"/>
      <c r="E38" s="1491"/>
      <c r="F38" s="1492"/>
      <c r="G38" s="1490">
        <v>0</v>
      </c>
      <c r="H38" s="1491"/>
      <c r="I38" s="1492"/>
      <c r="J38" s="1490">
        <f t="shared" si="0"/>
        <v>0</v>
      </c>
      <c r="K38" s="1491"/>
      <c r="L38" s="1491"/>
      <c r="M38" s="1492"/>
      <c r="N38" s="40"/>
      <c r="O38" s="1498" t="s">
        <v>194</v>
      </c>
      <c r="P38" s="1499"/>
      <c r="Q38" s="1490">
        <v>0</v>
      </c>
      <c r="R38" s="1491"/>
      <c r="S38" s="1491"/>
      <c r="T38" s="1492"/>
      <c r="U38" s="1490">
        <v>0</v>
      </c>
      <c r="V38" s="1491"/>
      <c r="W38" s="1492"/>
      <c r="X38" s="1490">
        <f t="shared" si="1"/>
        <v>0</v>
      </c>
      <c r="Y38" s="1491"/>
      <c r="Z38" s="1491"/>
      <c r="AA38" s="1492"/>
      <c r="AC38" s="1498">
        <v>511226</v>
      </c>
      <c r="AD38" s="1499"/>
      <c r="AE38" s="1490">
        <v>0</v>
      </c>
      <c r="AF38" s="1491"/>
      <c r="AG38" s="1491"/>
      <c r="AH38" s="1492"/>
      <c r="AI38" s="1490">
        <v>0</v>
      </c>
      <c r="AJ38" s="1491"/>
      <c r="AK38" s="1492"/>
      <c r="AL38" s="1490">
        <f t="shared" si="2"/>
        <v>0</v>
      </c>
      <c r="AM38" s="1491"/>
      <c r="AN38" s="1491"/>
      <c r="AO38" s="1492"/>
      <c r="AP38" s="40"/>
      <c r="AQ38" s="1498">
        <v>511226</v>
      </c>
      <c r="AR38" s="1499"/>
      <c r="AS38" s="1490">
        <v>0</v>
      </c>
      <c r="AT38" s="1491"/>
      <c r="AU38" s="1491"/>
      <c r="AV38" s="1492"/>
      <c r="AW38" s="1490">
        <v>0</v>
      </c>
      <c r="AX38" s="1491"/>
      <c r="AY38" s="1492"/>
      <c r="AZ38" s="1490">
        <f t="shared" si="3"/>
        <v>0</v>
      </c>
      <c r="BA38" s="1491"/>
      <c r="BB38" s="1491"/>
      <c r="BC38" s="1492"/>
    </row>
    <row r="39" spans="1:55" x14ac:dyDescent="0.35">
      <c r="A39" s="1498" t="s">
        <v>195</v>
      </c>
      <c r="B39" s="1499"/>
      <c r="C39" s="1490">
        <v>0</v>
      </c>
      <c r="D39" s="1491"/>
      <c r="E39" s="1491"/>
      <c r="F39" s="1492"/>
      <c r="G39" s="1490">
        <v>0</v>
      </c>
      <c r="H39" s="1491"/>
      <c r="I39" s="1492"/>
      <c r="J39" s="1490">
        <f t="shared" si="0"/>
        <v>0</v>
      </c>
      <c r="K39" s="1491"/>
      <c r="L39" s="1491"/>
      <c r="M39" s="1492"/>
      <c r="N39" s="40"/>
      <c r="O39" s="1498" t="s">
        <v>195</v>
      </c>
      <c r="P39" s="1499"/>
      <c r="Q39" s="1490">
        <v>0</v>
      </c>
      <c r="R39" s="1491"/>
      <c r="S39" s="1491"/>
      <c r="T39" s="1492"/>
      <c r="U39" s="1490">
        <v>0</v>
      </c>
      <c r="V39" s="1491"/>
      <c r="W39" s="1492"/>
      <c r="X39" s="1490">
        <f t="shared" si="1"/>
        <v>0</v>
      </c>
      <c r="Y39" s="1491"/>
      <c r="Z39" s="1491"/>
      <c r="AA39" s="1492"/>
      <c r="AC39" s="1498">
        <v>511227</v>
      </c>
      <c r="AD39" s="1499"/>
      <c r="AE39" s="1490">
        <v>0</v>
      </c>
      <c r="AF39" s="1491"/>
      <c r="AG39" s="1491"/>
      <c r="AH39" s="1492"/>
      <c r="AI39" s="1490">
        <v>0</v>
      </c>
      <c r="AJ39" s="1491"/>
      <c r="AK39" s="1492"/>
      <c r="AL39" s="1490">
        <f t="shared" si="2"/>
        <v>0</v>
      </c>
      <c r="AM39" s="1491"/>
      <c r="AN39" s="1491"/>
      <c r="AO39" s="1492"/>
      <c r="AP39" s="40"/>
      <c r="AQ39" s="1498">
        <v>511227</v>
      </c>
      <c r="AR39" s="1499"/>
      <c r="AS39" s="1490">
        <v>0</v>
      </c>
      <c r="AT39" s="1491"/>
      <c r="AU39" s="1491"/>
      <c r="AV39" s="1492"/>
      <c r="AW39" s="1490">
        <v>0</v>
      </c>
      <c r="AX39" s="1491"/>
      <c r="AY39" s="1492"/>
      <c r="AZ39" s="1490">
        <f t="shared" si="3"/>
        <v>0</v>
      </c>
      <c r="BA39" s="1491"/>
      <c r="BB39" s="1491"/>
      <c r="BC39" s="1492"/>
    </row>
    <row r="40" spans="1:55" x14ac:dyDescent="0.35">
      <c r="A40" s="1498" t="s">
        <v>196</v>
      </c>
      <c r="B40" s="1499"/>
      <c r="C40" s="1490">
        <v>0</v>
      </c>
      <c r="D40" s="1491"/>
      <c r="E40" s="1491"/>
      <c r="F40" s="1492"/>
      <c r="G40" s="1490">
        <v>0</v>
      </c>
      <c r="H40" s="1491"/>
      <c r="I40" s="1492"/>
      <c r="J40" s="1490">
        <f t="shared" si="0"/>
        <v>0</v>
      </c>
      <c r="K40" s="1491"/>
      <c r="L40" s="1491"/>
      <c r="M40" s="1492"/>
      <c r="N40" s="40"/>
      <c r="O40" s="1498" t="s">
        <v>196</v>
      </c>
      <c r="P40" s="1499"/>
      <c r="Q40" s="1490">
        <v>0</v>
      </c>
      <c r="R40" s="1491"/>
      <c r="S40" s="1491"/>
      <c r="T40" s="1492"/>
      <c r="U40" s="1490">
        <v>0</v>
      </c>
      <c r="V40" s="1491"/>
      <c r="W40" s="1492"/>
      <c r="X40" s="1490">
        <f t="shared" si="1"/>
        <v>0</v>
      </c>
      <c r="Y40" s="1491"/>
      <c r="Z40" s="1491"/>
      <c r="AA40" s="1492"/>
      <c r="AC40" s="1498">
        <v>511228</v>
      </c>
      <c r="AD40" s="1499"/>
      <c r="AE40" s="1490">
        <v>0</v>
      </c>
      <c r="AF40" s="1491"/>
      <c r="AG40" s="1491"/>
      <c r="AH40" s="1492"/>
      <c r="AI40" s="1490">
        <v>0</v>
      </c>
      <c r="AJ40" s="1491"/>
      <c r="AK40" s="1492"/>
      <c r="AL40" s="1490">
        <f t="shared" si="2"/>
        <v>0</v>
      </c>
      <c r="AM40" s="1491"/>
      <c r="AN40" s="1491"/>
      <c r="AO40" s="1492"/>
      <c r="AP40" s="40"/>
      <c r="AQ40" s="1498">
        <v>511228</v>
      </c>
      <c r="AR40" s="1499"/>
      <c r="AS40" s="1490">
        <v>0</v>
      </c>
      <c r="AT40" s="1491"/>
      <c r="AU40" s="1491"/>
      <c r="AV40" s="1492"/>
      <c r="AW40" s="1490">
        <v>0</v>
      </c>
      <c r="AX40" s="1491"/>
      <c r="AY40" s="1492"/>
      <c r="AZ40" s="1490">
        <f t="shared" si="3"/>
        <v>0</v>
      </c>
      <c r="BA40" s="1491"/>
      <c r="BB40" s="1491"/>
      <c r="BC40" s="1492"/>
    </row>
    <row r="41" spans="1:55" x14ac:dyDescent="0.35">
      <c r="A41" s="1498" t="s">
        <v>197</v>
      </c>
      <c r="B41" s="1499"/>
      <c r="C41" s="1490">
        <v>0</v>
      </c>
      <c r="D41" s="1491"/>
      <c r="E41" s="1491"/>
      <c r="F41" s="1492"/>
      <c r="G41" s="1490">
        <v>0</v>
      </c>
      <c r="H41" s="1491"/>
      <c r="I41" s="1492"/>
      <c r="J41" s="1490">
        <f t="shared" si="0"/>
        <v>0</v>
      </c>
      <c r="K41" s="1491"/>
      <c r="L41" s="1491"/>
      <c r="M41" s="1492"/>
      <c r="N41" s="40"/>
      <c r="O41" s="1498" t="s">
        <v>197</v>
      </c>
      <c r="P41" s="1499"/>
      <c r="Q41" s="1490">
        <v>0</v>
      </c>
      <c r="R41" s="1491"/>
      <c r="S41" s="1491"/>
      <c r="T41" s="1492"/>
      <c r="U41" s="1490">
        <v>0</v>
      </c>
      <c r="V41" s="1491"/>
      <c r="W41" s="1492"/>
      <c r="X41" s="1490">
        <f t="shared" si="1"/>
        <v>0</v>
      </c>
      <c r="Y41" s="1491"/>
      <c r="Z41" s="1491"/>
      <c r="AA41" s="1492"/>
      <c r="AC41" s="1498">
        <v>511229</v>
      </c>
      <c r="AD41" s="1499"/>
      <c r="AE41" s="1490">
        <v>0</v>
      </c>
      <c r="AF41" s="1491"/>
      <c r="AG41" s="1491"/>
      <c r="AH41" s="1492"/>
      <c r="AI41" s="1490">
        <v>0</v>
      </c>
      <c r="AJ41" s="1491"/>
      <c r="AK41" s="1492"/>
      <c r="AL41" s="1490">
        <f t="shared" si="2"/>
        <v>0</v>
      </c>
      <c r="AM41" s="1491"/>
      <c r="AN41" s="1491"/>
      <c r="AO41" s="1492"/>
      <c r="AP41" s="40"/>
      <c r="AQ41" s="1498">
        <v>511229</v>
      </c>
      <c r="AR41" s="1499"/>
      <c r="AS41" s="1490">
        <v>0</v>
      </c>
      <c r="AT41" s="1491"/>
      <c r="AU41" s="1491"/>
      <c r="AV41" s="1492"/>
      <c r="AW41" s="1490">
        <v>0</v>
      </c>
      <c r="AX41" s="1491"/>
      <c r="AY41" s="1492"/>
      <c r="AZ41" s="1490">
        <f t="shared" si="3"/>
        <v>0</v>
      </c>
      <c r="BA41" s="1491"/>
      <c r="BB41" s="1491"/>
      <c r="BC41" s="1492"/>
    </row>
    <row r="42" spans="1:55" x14ac:dyDescent="0.35">
      <c r="A42" s="1498" t="s">
        <v>198</v>
      </c>
      <c r="B42" s="1499"/>
      <c r="C42" s="1490">
        <v>0</v>
      </c>
      <c r="D42" s="1491"/>
      <c r="E42" s="1491"/>
      <c r="F42" s="1492"/>
      <c r="G42" s="1490">
        <v>0</v>
      </c>
      <c r="H42" s="1491"/>
      <c r="I42" s="1492"/>
      <c r="J42" s="1490">
        <f t="shared" si="0"/>
        <v>0</v>
      </c>
      <c r="K42" s="1491"/>
      <c r="L42" s="1491"/>
      <c r="M42" s="1492"/>
      <c r="N42" s="40"/>
      <c r="O42" s="1498" t="s">
        <v>198</v>
      </c>
      <c r="P42" s="1499"/>
      <c r="Q42" s="1490">
        <v>0</v>
      </c>
      <c r="R42" s="1491"/>
      <c r="S42" s="1491"/>
      <c r="T42" s="1492"/>
      <c r="U42" s="1490">
        <v>0</v>
      </c>
      <c r="V42" s="1491"/>
      <c r="W42" s="1492"/>
      <c r="X42" s="1490">
        <f t="shared" si="1"/>
        <v>0</v>
      </c>
      <c r="Y42" s="1491"/>
      <c r="Z42" s="1491"/>
      <c r="AA42" s="1492"/>
      <c r="AC42" s="1498">
        <v>511231</v>
      </c>
      <c r="AD42" s="1499"/>
      <c r="AE42" s="1490">
        <v>0</v>
      </c>
      <c r="AF42" s="1491"/>
      <c r="AG42" s="1491"/>
      <c r="AH42" s="1492"/>
      <c r="AI42" s="1490">
        <v>0</v>
      </c>
      <c r="AJ42" s="1491"/>
      <c r="AK42" s="1492"/>
      <c r="AL42" s="1490">
        <f t="shared" si="2"/>
        <v>0</v>
      </c>
      <c r="AM42" s="1491"/>
      <c r="AN42" s="1491"/>
      <c r="AO42" s="1492"/>
      <c r="AP42" s="40"/>
      <c r="AQ42" s="1498">
        <v>511231</v>
      </c>
      <c r="AR42" s="1499"/>
      <c r="AS42" s="1490">
        <v>0</v>
      </c>
      <c r="AT42" s="1491"/>
      <c r="AU42" s="1491"/>
      <c r="AV42" s="1492"/>
      <c r="AW42" s="1490">
        <v>0</v>
      </c>
      <c r="AX42" s="1491"/>
      <c r="AY42" s="1492"/>
      <c r="AZ42" s="1490">
        <f t="shared" si="3"/>
        <v>0</v>
      </c>
      <c r="BA42" s="1491"/>
      <c r="BB42" s="1491"/>
      <c r="BC42" s="1492"/>
    </row>
    <row r="43" spans="1:55" x14ac:dyDescent="0.35">
      <c r="A43" s="1498" t="s">
        <v>199</v>
      </c>
      <c r="B43" s="1499"/>
      <c r="C43" s="1490">
        <v>0</v>
      </c>
      <c r="D43" s="1491"/>
      <c r="E43" s="1491"/>
      <c r="F43" s="1492"/>
      <c r="G43" s="1490">
        <v>0</v>
      </c>
      <c r="H43" s="1491"/>
      <c r="I43" s="1492"/>
      <c r="J43" s="1490">
        <f t="shared" si="0"/>
        <v>0</v>
      </c>
      <c r="K43" s="1491"/>
      <c r="L43" s="1491"/>
      <c r="M43" s="1492"/>
      <c r="N43" s="40"/>
      <c r="O43" s="1498" t="s">
        <v>199</v>
      </c>
      <c r="P43" s="1499"/>
      <c r="Q43" s="1490">
        <v>0</v>
      </c>
      <c r="R43" s="1491"/>
      <c r="S43" s="1491"/>
      <c r="T43" s="1492"/>
      <c r="U43" s="1490">
        <v>0</v>
      </c>
      <c r="V43" s="1491"/>
      <c r="W43" s="1492"/>
      <c r="X43" s="1490">
        <f t="shared" si="1"/>
        <v>0</v>
      </c>
      <c r="Y43" s="1491"/>
      <c r="Z43" s="1491"/>
      <c r="AA43" s="1492"/>
      <c r="AC43" s="1498">
        <v>511232</v>
      </c>
      <c r="AD43" s="1499"/>
      <c r="AE43" s="1490">
        <v>0</v>
      </c>
      <c r="AF43" s="1491"/>
      <c r="AG43" s="1491"/>
      <c r="AH43" s="1492"/>
      <c r="AI43" s="1490">
        <v>0</v>
      </c>
      <c r="AJ43" s="1491"/>
      <c r="AK43" s="1492"/>
      <c r="AL43" s="1490">
        <f t="shared" si="2"/>
        <v>0</v>
      </c>
      <c r="AM43" s="1491"/>
      <c r="AN43" s="1491"/>
      <c r="AO43" s="1492"/>
      <c r="AP43" s="40"/>
      <c r="AQ43" s="1498">
        <v>511232</v>
      </c>
      <c r="AR43" s="1499"/>
      <c r="AS43" s="1490">
        <v>0</v>
      </c>
      <c r="AT43" s="1491"/>
      <c r="AU43" s="1491"/>
      <c r="AV43" s="1492"/>
      <c r="AW43" s="1490">
        <v>0</v>
      </c>
      <c r="AX43" s="1491"/>
      <c r="AY43" s="1492"/>
      <c r="AZ43" s="1490">
        <f t="shared" si="3"/>
        <v>0</v>
      </c>
      <c r="BA43" s="1491"/>
      <c r="BB43" s="1491"/>
      <c r="BC43" s="1492"/>
    </row>
    <row r="44" spans="1:55" x14ac:dyDescent="0.35">
      <c r="A44" s="1498" t="s">
        <v>200</v>
      </c>
      <c r="B44" s="1499"/>
      <c r="C44" s="1490">
        <v>0</v>
      </c>
      <c r="D44" s="1491"/>
      <c r="E44" s="1491"/>
      <c r="F44" s="1492"/>
      <c r="G44" s="1490">
        <v>0</v>
      </c>
      <c r="H44" s="1491"/>
      <c r="I44" s="1492"/>
      <c r="J44" s="1490">
        <f t="shared" si="0"/>
        <v>0</v>
      </c>
      <c r="K44" s="1491"/>
      <c r="L44" s="1491"/>
      <c r="M44" s="1492"/>
      <c r="N44" s="40"/>
      <c r="O44" s="1498" t="s">
        <v>200</v>
      </c>
      <c r="P44" s="1499"/>
      <c r="Q44" s="1490">
        <v>0</v>
      </c>
      <c r="R44" s="1491"/>
      <c r="S44" s="1491"/>
      <c r="T44" s="1492"/>
      <c r="U44" s="1490">
        <v>0</v>
      </c>
      <c r="V44" s="1491"/>
      <c r="W44" s="1492"/>
      <c r="X44" s="1490">
        <f t="shared" si="1"/>
        <v>0</v>
      </c>
      <c r="Y44" s="1491"/>
      <c r="Z44" s="1491"/>
      <c r="AA44" s="1492"/>
      <c r="AC44" s="1498">
        <v>511233</v>
      </c>
      <c r="AD44" s="1499"/>
      <c r="AE44" s="1490">
        <v>0</v>
      </c>
      <c r="AF44" s="1491"/>
      <c r="AG44" s="1491"/>
      <c r="AH44" s="1492"/>
      <c r="AI44" s="1490">
        <v>0</v>
      </c>
      <c r="AJ44" s="1491"/>
      <c r="AK44" s="1492"/>
      <c r="AL44" s="1490">
        <f t="shared" si="2"/>
        <v>0</v>
      </c>
      <c r="AM44" s="1491"/>
      <c r="AN44" s="1491"/>
      <c r="AO44" s="1492"/>
      <c r="AP44" s="40"/>
      <c r="AQ44" s="1498">
        <v>511233</v>
      </c>
      <c r="AR44" s="1499"/>
      <c r="AS44" s="1490">
        <v>0</v>
      </c>
      <c r="AT44" s="1491"/>
      <c r="AU44" s="1491"/>
      <c r="AV44" s="1492"/>
      <c r="AW44" s="1490">
        <v>0</v>
      </c>
      <c r="AX44" s="1491"/>
      <c r="AY44" s="1492"/>
      <c r="AZ44" s="1490">
        <f t="shared" si="3"/>
        <v>0</v>
      </c>
      <c r="BA44" s="1491"/>
      <c r="BB44" s="1491"/>
      <c r="BC44" s="1492"/>
    </row>
    <row r="45" spans="1:55" x14ac:dyDescent="0.35">
      <c r="A45" s="1498" t="s">
        <v>201</v>
      </c>
      <c r="B45" s="1499"/>
      <c r="C45" s="1490">
        <v>0</v>
      </c>
      <c r="D45" s="1491"/>
      <c r="E45" s="1491"/>
      <c r="F45" s="1492"/>
      <c r="G45" s="1490">
        <v>0</v>
      </c>
      <c r="H45" s="1491"/>
      <c r="I45" s="1492"/>
      <c r="J45" s="1490">
        <f t="shared" si="0"/>
        <v>0</v>
      </c>
      <c r="K45" s="1491"/>
      <c r="L45" s="1491"/>
      <c r="M45" s="1492"/>
      <c r="N45" s="40"/>
      <c r="O45" s="1498" t="s">
        <v>201</v>
      </c>
      <c r="P45" s="1499"/>
      <c r="Q45" s="1490">
        <v>0</v>
      </c>
      <c r="R45" s="1491"/>
      <c r="S45" s="1491"/>
      <c r="T45" s="1492"/>
      <c r="U45" s="1490">
        <v>0</v>
      </c>
      <c r="V45" s="1491"/>
      <c r="W45" s="1492"/>
      <c r="X45" s="1490">
        <f t="shared" si="1"/>
        <v>0</v>
      </c>
      <c r="Y45" s="1491"/>
      <c r="Z45" s="1491"/>
      <c r="AA45" s="1492"/>
      <c r="AC45" s="1498">
        <v>511234</v>
      </c>
      <c r="AD45" s="1499"/>
      <c r="AE45" s="1490">
        <v>0</v>
      </c>
      <c r="AF45" s="1491"/>
      <c r="AG45" s="1491"/>
      <c r="AH45" s="1492"/>
      <c r="AI45" s="1490">
        <v>0</v>
      </c>
      <c r="AJ45" s="1491"/>
      <c r="AK45" s="1492"/>
      <c r="AL45" s="1490">
        <f t="shared" si="2"/>
        <v>0</v>
      </c>
      <c r="AM45" s="1491"/>
      <c r="AN45" s="1491"/>
      <c r="AO45" s="1492"/>
      <c r="AP45" s="40"/>
      <c r="AQ45" s="1498">
        <v>511234</v>
      </c>
      <c r="AR45" s="1499"/>
      <c r="AS45" s="1490">
        <v>0</v>
      </c>
      <c r="AT45" s="1491"/>
      <c r="AU45" s="1491"/>
      <c r="AV45" s="1492"/>
      <c r="AW45" s="1490">
        <v>0</v>
      </c>
      <c r="AX45" s="1491"/>
      <c r="AY45" s="1492"/>
      <c r="AZ45" s="1490">
        <f t="shared" si="3"/>
        <v>0</v>
      </c>
      <c r="BA45" s="1491"/>
      <c r="BB45" s="1491"/>
      <c r="BC45" s="1492"/>
    </row>
    <row r="46" spans="1:55" x14ac:dyDescent="0.35">
      <c r="A46" s="1498" t="s">
        <v>202</v>
      </c>
      <c r="B46" s="1499"/>
      <c r="C46" s="1490">
        <v>0</v>
      </c>
      <c r="D46" s="1491"/>
      <c r="E46" s="1491"/>
      <c r="F46" s="1492"/>
      <c r="G46" s="1490">
        <v>0</v>
      </c>
      <c r="H46" s="1491"/>
      <c r="I46" s="1492"/>
      <c r="J46" s="1490">
        <f t="shared" si="0"/>
        <v>0</v>
      </c>
      <c r="K46" s="1491"/>
      <c r="L46" s="1491"/>
      <c r="M46" s="1492"/>
      <c r="N46" s="40"/>
      <c r="O46" s="1498" t="s">
        <v>202</v>
      </c>
      <c r="P46" s="1499"/>
      <c r="Q46" s="1490">
        <v>0</v>
      </c>
      <c r="R46" s="1491"/>
      <c r="S46" s="1491"/>
      <c r="T46" s="1492"/>
      <c r="U46" s="1490">
        <v>0</v>
      </c>
      <c r="V46" s="1491"/>
      <c r="W46" s="1492"/>
      <c r="X46" s="1490">
        <f t="shared" si="1"/>
        <v>0</v>
      </c>
      <c r="Y46" s="1491"/>
      <c r="Z46" s="1491"/>
      <c r="AA46" s="1492"/>
      <c r="AC46" s="1498">
        <v>511235</v>
      </c>
      <c r="AD46" s="1499"/>
      <c r="AE46" s="1490">
        <v>0</v>
      </c>
      <c r="AF46" s="1491"/>
      <c r="AG46" s="1491"/>
      <c r="AH46" s="1492"/>
      <c r="AI46" s="1490">
        <v>0</v>
      </c>
      <c r="AJ46" s="1491"/>
      <c r="AK46" s="1492"/>
      <c r="AL46" s="1490">
        <f t="shared" si="2"/>
        <v>0</v>
      </c>
      <c r="AM46" s="1491"/>
      <c r="AN46" s="1491"/>
      <c r="AO46" s="1492"/>
      <c r="AP46" s="40"/>
      <c r="AQ46" s="1498">
        <v>511235</v>
      </c>
      <c r="AR46" s="1499"/>
      <c r="AS46" s="1490">
        <v>0</v>
      </c>
      <c r="AT46" s="1491"/>
      <c r="AU46" s="1491"/>
      <c r="AV46" s="1492"/>
      <c r="AW46" s="1490">
        <v>0</v>
      </c>
      <c r="AX46" s="1491"/>
      <c r="AY46" s="1492"/>
      <c r="AZ46" s="1490">
        <f t="shared" si="3"/>
        <v>0</v>
      </c>
      <c r="BA46" s="1491"/>
      <c r="BB46" s="1491"/>
      <c r="BC46" s="1492"/>
    </row>
    <row r="47" spans="1:55" x14ac:dyDescent="0.35">
      <c r="A47" s="1498" t="s">
        <v>184</v>
      </c>
      <c r="B47" s="1499"/>
      <c r="C47" s="1490">
        <v>0</v>
      </c>
      <c r="D47" s="1491"/>
      <c r="E47" s="1491"/>
      <c r="F47" s="1492"/>
      <c r="G47" s="1490">
        <v>0</v>
      </c>
      <c r="H47" s="1491"/>
      <c r="I47" s="1492"/>
      <c r="J47" s="1490">
        <f t="shared" si="0"/>
        <v>0</v>
      </c>
      <c r="K47" s="1491"/>
      <c r="L47" s="1491"/>
      <c r="M47" s="1492"/>
      <c r="N47" s="40"/>
      <c r="O47" s="1498" t="s">
        <v>184</v>
      </c>
      <c r="P47" s="1499"/>
      <c r="Q47" s="1490">
        <v>0</v>
      </c>
      <c r="R47" s="1491"/>
      <c r="S47" s="1491"/>
      <c r="T47" s="1492"/>
      <c r="U47" s="1490">
        <v>0</v>
      </c>
      <c r="V47" s="1491"/>
      <c r="W47" s="1492"/>
      <c r="X47" s="1490">
        <f t="shared" si="1"/>
        <v>0</v>
      </c>
      <c r="Y47" s="1491"/>
      <c r="Z47" s="1491"/>
      <c r="AA47" s="1492"/>
      <c r="AC47" s="1498">
        <v>511236</v>
      </c>
      <c r="AD47" s="1499"/>
      <c r="AE47" s="1490">
        <v>0</v>
      </c>
      <c r="AF47" s="1491"/>
      <c r="AG47" s="1491"/>
      <c r="AH47" s="1492"/>
      <c r="AI47" s="1490">
        <v>0</v>
      </c>
      <c r="AJ47" s="1491"/>
      <c r="AK47" s="1492"/>
      <c r="AL47" s="1490">
        <f t="shared" si="2"/>
        <v>0</v>
      </c>
      <c r="AM47" s="1491"/>
      <c r="AN47" s="1491"/>
      <c r="AO47" s="1492"/>
      <c r="AP47" s="40"/>
      <c r="AQ47" s="1498">
        <v>511236</v>
      </c>
      <c r="AR47" s="1499"/>
      <c r="AS47" s="1490">
        <v>0</v>
      </c>
      <c r="AT47" s="1491"/>
      <c r="AU47" s="1491"/>
      <c r="AV47" s="1492"/>
      <c r="AW47" s="1490">
        <v>0</v>
      </c>
      <c r="AX47" s="1491"/>
      <c r="AY47" s="1492"/>
      <c r="AZ47" s="1490">
        <f t="shared" si="3"/>
        <v>0</v>
      </c>
      <c r="BA47" s="1491"/>
      <c r="BB47" s="1491"/>
      <c r="BC47" s="1492"/>
    </row>
    <row r="48" spans="1:55" x14ac:dyDescent="0.35">
      <c r="A48" s="1498" t="s">
        <v>203</v>
      </c>
      <c r="B48" s="1499"/>
      <c r="C48" s="1490">
        <f>SUM(C31:F47)</f>
        <v>0</v>
      </c>
      <c r="D48" s="1491"/>
      <c r="E48" s="1491"/>
      <c r="F48" s="1492"/>
      <c r="G48" s="1490">
        <v>0</v>
      </c>
      <c r="H48" s="1491"/>
      <c r="I48" s="1492"/>
      <c r="J48" s="1490">
        <f t="shared" si="0"/>
        <v>0</v>
      </c>
      <c r="K48" s="1491"/>
      <c r="L48" s="1491"/>
      <c r="M48" s="1492"/>
      <c r="N48" s="42"/>
      <c r="O48" s="1498" t="s">
        <v>203</v>
      </c>
      <c r="P48" s="1499"/>
      <c r="Q48" s="1490">
        <f>SUM(Q31:T47)</f>
        <v>0</v>
      </c>
      <c r="R48" s="1491"/>
      <c r="S48" s="1491"/>
      <c r="T48" s="1492"/>
      <c r="U48" s="1490">
        <v>0</v>
      </c>
      <c r="V48" s="1491"/>
      <c r="W48" s="1492"/>
      <c r="X48" s="1490">
        <f t="shared" si="1"/>
        <v>0</v>
      </c>
      <c r="Y48" s="1491"/>
      <c r="Z48" s="1491"/>
      <c r="AA48" s="1492"/>
      <c r="AC48" s="1498">
        <v>511237</v>
      </c>
      <c r="AD48" s="1499"/>
      <c r="AE48" s="1490">
        <f>SUM(AE31:AH47)</f>
        <v>0</v>
      </c>
      <c r="AF48" s="1491"/>
      <c r="AG48" s="1491"/>
      <c r="AH48" s="1492"/>
      <c r="AI48" s="1490">
        <v>0</v>
      </c>
      <c r="AJ48" s="1491"/>
      <c r="AK48" s="1492"/>
      <c r="AL48" s="1490">
        <f t="shared" si="2"/>
        <v>0</v>
      </c>
      <c r="AM48" s="1491"/>
      <c r="AN48" s="1491"/>
      <c r="AO48" s="1492"/>
      <c r="AP48" s="42"/>
      <c r="AQ48" s="1498">
        <v>511237</v>
      </c>
      <c r="AR48" s="1499"/>
      <c r="AS48" s="1490">
        <f>SUM(AS31:AV47)</f>
        <v>0</v>
      </c>
      <c r="AT48" s="1491"/>
      <c r="AU48" s="1491"/>
      <c r="AV48" s="1492"/>
      <c r="AW48" s="1490">
        <v>0</v>
      </c>
      <c r="AX48" s="1491"/>
      <c r="AY48" s="1492"/>
      <c r="AZ48" s="1490">
        <f t="shared" si="3"/>
        <v>0</v>
      </c>
      <c r="BA48" s="1491"/>
      <c r="BB48" s="1491"/>
      <c r="BC48" s="1492"/>
    </row>
    <row r="49" spans="1:55" x14ac:dyDescent="0.35">
      <c r="A49" s="1498" t="s">
        <v>204</v>
      </c>
      <c r="B49" s="1499"/>
      <c r="C49" s="1490">
        <f t="shared" ref="C49:C62" si="4">SUM(C32:F48)</f>
        <v>0</v>
      </c>
      <c r="D49" s="1491"/>
      <c r="E49" s="1491"/>
      <c r="F49" s="1492"/>
      <c r="G49" s="1490">
        <v>0</v>
      </c>
      <c r="H49" s="1491"/>
      <c r="I49" s="1492"/>
      <c r="J49" s="1490">
        <f t="shared" ref="J49:J62" si="5">C49-G49</f>
        <v>0</v>
      </c>
      <c r="K49" s="1491"/>
      <c r="L49" s="1491"/>
      <c r="M49" s="1492"/>
      <c r="O49" s="1498" t="s">
        <v>204</v>
      </c>
      <c r="P49" s="1499"/>
      <c r="Q49" s="1490">
        <v>0</v>
      </c>
      <c r="R49" s="1491"/>
      <c r="S49" s="1491"/>
      <c r="T49" s="1492"/>
      <c r="U49" s="1490">
        <v>0</v>
      </c>
      <c r="V49" s="1491"/>
      <c r="W49" s="1492"/>
      <c r="X49" s="1490">
        <f t="shared" ref="X49:X60" si="6">Q49-U49</f>
        <v>0</v>
      </c>
      <c r="Y49" s="1491"/>
      <c r="Z49" s="1491"/>
      <c r="AA49" s="1492"/>
      <c r="AC49" s="1498">
        <v>511239</v>
      </c>
      <c r="AD49" s="1499"/>
      <c r="AE49" s="1490">
        <f t="shared" ref="AE49:AE62" si="7">SUM(AE32:AH48)</f>
        <v>0</v>
      </c>
      <c r="AF49" s="1491"/>
      <c r="AG49" s="1491"/>
      <c r="AH49" s="1492"/>
      <c r="AI49" s="1490">
        <v>0</v>
      </c>
      <c r="AJ49" s="1491"/>
      <c r="AK49" s="1492"/>
      <c r="AL49" s="1490">
        <f t="shared" si="2"/>
        <v>0</v>
      </c>
      <c r="AM49" s="1491"/>
      <c r="AN49" s="1491"/>
      <c r="AO49" s="1492"/>
      <c r="AQ49" s="1498">
        <v>511239</v>
      </c>
      <c r="AR49" s="1499"/>
      <c r="AS49" s="1490">
        <v>0</v>
      </c>
      <c r="AT49" s="1491"/>
      <c r="AU49" s="1491"/>
      <c r="AV49" s="1492"/>
      <c r="AW49" s="1490">
        <v>0</v>
      </c>
      <c r="AX49" s="1491"/>
      <c r="AY49" s="1492"/>
      <c r="AZ49" s="1490">
        <f t="shared" si="3"/>
        <v>0</v>
      </c>
      <c r="BA49" s="1491"/>
      <c r="BB49" s="1491"/>
      <c r="BC49" s="1492"/>
    </row>
    <row r="50" spans="1:55" x14ac:dyDescent="0.35">
      <c r="A50" s="1498" t="s">
        <v>205</v>
      </c>
      <c r="B50" s="1499"/>
      <c r="C50" s="1490">
        <f t="shared" si="4"/>
        <v>0</v>
      </c>
      <c r="D50" s="1491"/>
      <c r="E50" s="1491"/>
      <c r="F50" s="1492"/>
      <c r="G50" s="1490">
        <v>0</v>
      </c>
      <c r="H50" s="1491"/>
      <c r="I50" s="1492"/>
      <c r="J50" s="1490">
        <f t="shared" si="5"/>
        <v>0</v>
      </c>
      <c r="K50" s="1491"/>
      <c r="L50" s="1491"/>
      <c r="M50" s="1492"/>
      <c r="O50" s="1498" t="s">
        <v>205</v>
      </c>
      <c r="P50" s="1499"/>
      <c r="Q50" s="1490">
        <v>0</v>
      </c>
      <c r="R50" s="1491"/>
      <c r="S50" s="1491"/>
      <c r="T50" s="1492"/>
      <c r="U50" s="1490">
        <v>0</v>
      </c>
      <c r="V50" s="1491"/>
      <c r="W50" s="1492"/>
      <c r="X50" s="1490">
        <f t="shared" si="6"/>
        <v>0</v>
      </c>
      <c r="Y50" s="1491"/>
      <c r="Z50" s="1491"/>
      <c r="AA50" s="1492"/>
      <c r="AC50" s="1498">
        <v>511241</v>
      </c>
      <c r="AD50" s="1499"/>
      <c r="AE50" s="1490">
        <f t="shared" si="7"/>
        <v>0</v>
      </c>
      <c r="AF50" s="1491"/>
      <c r="AG50" s="1491"/>
      <c r="AH50" s="1492"/>
      <c r="AI50" s="1490">
        <v>0</v>
      </c>
      <c r="AJ50" s="1491"/>
      <c r="AK50" s="1492"/>
      <c r="AL50" s="1490">
        <f t="shared" si="2"/>
        <v>0</v>
      </c>
      <c r="AM50" s="1491"/>
      <c r="AN50" s="1491"/>
      <c r="AO50" s="1492"/>
      <c r="AQ50" s="1498">
        <v>511241</v>
      </c>
      <c r="AR50" s="1499"/>
      <c r="AS50" s="1490">
        <v>0</v>
      </c>
      <c r="AT50" s="1491"/>
      <c r="AU50" s="1491"/>
      <c r="AV50" s="1492"/>
      <c r="AW50" s="1490">
        <v>0</v>
      </c>
      <c r="AX50" s="1491"/>
      <c r="AY50" s="1492"/>
      <c r="AZ50" s="1490">
        <f t="shared" si="3"/>
        <v>0</v>
      </c>
      <c r="BA50" s="1491"/>
      <c r="BB50" s="1491"/>
      <c r="BC50" s="1492"/>
    </row>
    <row r="51" spans="1:55" x14ac:dyDescent="0.35">
      <c r="A51" s="1498" t="s">
        <v>206</v>
      </c>
      <c r="B51" s="1499"/>
      <c r="C51" s="1490">
        <f t="shared" si="4"/>
        <v>0</v>
      </c>
      <c r="D51" s="1491"/>
      <c r="E51" s="1491"/>
      <c r="F51" s="1492"/>
      <c r="G51" s="1490">
        <v>0</v>
      </c>
      <c r="H51" s="1491"/>
      <c r="I51" s="1492"/>
      <c r="J51" s="1490">
        <f t="shared" si="5"/>
        <v>0</v>
      </c>
      <c r="K51" s="1491"/>
      <c r="L51" s="1491"/>
      <c r="M51" s="1492"/>
      <c r="O51" s="1498" t="s">
        <v>206</v>
      </c>
      <c r="P51" s="1499"/>
      <c r="Q51" s="1490">
        <v>0</v>
      </c>
      <c r="R51" s="1491"/>
      <c r="S51" s="1491"/>
      <c r="T51" s="1492"/>
      <c r="U51" s="1490">
        <v>0</v>
      </c>
      <c r="V51" s="1491"/>
      <c r="W51" s="1492"/>
      <c r="X51" s="1490">
        <f t="shared" si="6"/>
        <v>0</v>
      </c>
      <c r="Y51" s="1491"/>
      <c r="Z51" s="1491"/>
      <c r="AA51" s="1492"/>
      <c r="AC51" s="1498">
        <v>511242</v>
      </c>
      <c r="AD51" s="1499"/>
      <c r="AE51" s="1490">
        <f t="shared" si="7"/>
        <v>0</v>
      </c>
      <c r="AF51" s="1491"/>
      <c r="AG51" s="1491"/>
      <c r="AH51" s="1492"/>
      <c r="AI51" s="1490">
        <v>0</v>
      </c>
      <c r="AJ51" s="1491"/>
      <c r="AK51" s="1492"/>
      <c r="AL51" s="1490">
        <f t="shared" si="2"/>
        <v>0</v>
      </c>
      <c r="AM51" s="1491"/>
      <c r="AN51" s="1491"/>
      <c r="AO51" s="1492"/>
      <c r="AQ51" s="1498">
        <v>511242</v>
      </c>
      <c r="AR51" s="1499"/>
      <c r="AS51" s="1490">
        <v>0</v>
      </c>
      <c r="AT51" s="1491"/>
      <c r="AU51" s="1491"/>
      <c r="AV51" s="1492"/>
      <c r="AW51" s="1490">
        <v>0</v>
      </c>
      <c r="AX51" s="1491"/>
      <c r="AY51" s="1492"/>
      <c r="AZ51" s="1490">
        <f t="shared" si="3"/>
        <v>0</v>
      </c>
      <c r="BA51" s="1491"/>
      <c r="BB51" s="1491"/>
      <c r="BC51" s="1492"/>
    </row>
    <row r="52" spans="1:55" x14ac:dyDescent="0.35">
      <c r="A52" s="1498" t="s">
        <v>207</v>
      </c>
      <c r="B52" s="1499"/>
      <c r="C52" s="1490">
        <f t="shared" si="4"/>
        <v>0</v>
      </c>
      <c r="D52" s="1491"/>
      <c r="E52" s="1491"/>
      <c r="F52" s="1492"/>
      <c r="G52" s="1490">
        <v>0</v>
      </c>
      <c r="H52" s="1491"/>
      <c r="I52" s="1492"/>
      <c r="J52" s="1490">
        <f t="shared" si="5"/>
        <v>0</v>
      </c>
      <c r="K52" s="1491"/>
      <c r="L52" s="1491"/>
      <c r="M52" s="1492"/>
      <c r="O52" s="1498" t="s">
        <v>207</v>
      </c>
      <c r="P52" s="1499"/>
      <c r="Q52" s="1490">
        <v>0</v>
      </c>
      <c r="R52" s="1491"/>
      <c r="S52" s="1491"/>
      <c r="T52" s="1492"/>
      <c r="U52" s="1490">
        <v>0</v>
      </c>
      <c r="V52" s="1491"/>
      <c r="W52" s="1492"/>
      <c r="X52" s="1490">
        <f t="shared" si="6"/>
        <v>0</v>
      </c>
      <c r="Y52" s="1491"/>
      <c r="Z52" s="1491"/>
      <c r="AA52" s="1492"/>
      <c r="AC52" s="1498">
        <v>511243</v>
      </c>
      <c r="AD52" s="1499"/>
      <c r="AE52" s="1490">
        <f t="shared" si="7"/>
        <v>0</v>
      </c>
      <c r="AF52" s="1491"/>
      <c r="AG52" s="1491"/>
      <c r="AH52" s="1492"/>
      <c r="AI52" s="1490">
        <v>0</v>
      </c>
      <c r="AJ52" s="1491"/>
      <c r="AK52" s="1492"/>
      <c r="AL52" s="1490">
        <f t="shared" si="2"/>
        <v>0</v>
      </c>
      <c r="AM52" s="1491"/>
      <c r="AN52" s="1491"/>
      <c r="AO52" s="1492"/>
      <c r="AQ52" s="1498">
        <v>511243</v>
      </c>
      <c r="AR52" s="1499"/>
      <c r="AS52" s="1490">
        <v>0</v>
      </c>
      <c r="AT52" s="1491"/>
      <c r="AU52" s="1491"/>
      <c r="AV52" s="1492"/>
      <c r="AW52" s="1490">
        <v>0</v>
      </c>
      <c r="AX52" s="1491"/>
      <c r="AY52" s="1492"/>
      <c r="AZ52" s="1490">
        <f t="shared" si="3"/>
        <v>0</v>
      </c>
      <c r="BA52" s="1491"/>
      <c r="BB52" s="1491"/>
      <c r="BC52" s="1492"/>
    </row>
    <row r="53" spans="1:55" x14ac:dyDescent="0.35">
      <c r="A53" s="1498" t="s">
        <v>208</v>
      </c>
      <c r="B53" s="1499"/>
      <c r="C53" s="1490">
        <f t="shared" si="4"/>
        <v>0</v>
      </c>
      <c r="D53" s="1491"/>
      <c r="E53" s="1491"/>
      <c r="F53" s="1492"/>
      <c r="G53" s="1490">
        <v>0</v>
      </c>
      <c r="H53" s="1491"/>
      <c r="I53" s="1492"/>
      <c r="J53" s="1490">
        <f t="shared" si="5"/>
        <v>0</v>
      </c>
      <c r="K53" s="1491"/>
      <c r="L53" s="1491"/>
      <c r="M53" s="1492"/>
      <c r="O53" s="1498" t="s">
        <v>208</v>
      </c>
      <c r="P53" s="1499"/>
      <c r="Q53" s="1490">
        <v>0</v>
      </c>
      <c r="R53" s="1491"/>
      <c r="S53" s="1491"/>
      <c r="T53" s="1492"/>
      <c r="U53" s="1490">
        <v>0</v>
      </c>
      <c r="V53" s="1491"/>
      <c r="W53" s="1492"/>
      <c r="X53" s="1490">
        <f t="shared" si="6"/>
        <v>0</v>
      </c>
      <c r="Y53" s="1491"/>
      <c r="Z53" s="1491"/>
      <c r="AA53" s="1492"/>
      <c r="AC53" s="1498">
        <v>511244</v>
      </c>
      <c r="AD53" s="1499"/>
      <c r="AE53" s="1490">
        <f t="shared" si="7"/>
        <v>0</v>
      </c>
      <c r="AF53" s="1491"/>
      <c r="AG53" s="1491"/>
      <c r="AH53" s="1492"/>
      <c r="AI53" s="1490">
        <v>0</v>
      </c>
      <c r="AJ53" s="1491"/>
      <c r="AK53" s="1492"/>
      <c r="AL53" s="1490">
        <f t="shared" si="2"/>
        <v>0</v>
      </c>
      <c r="AM53" s="1491"/>
      <c r="AN53" s="1491"/>
      <c r="AO53" s="1492"/>
      <c r="AQ53" s="1498">
        <v>511244</v>
      </c>
      <c r="AR53" s="1499"/>
      <c r="AS53" s="1490">
        <v>0</v>
      </c>
      <c r="AT53" s="1491"/>
      <c r="AU53" s="1491"/>
      <c r="AV53" s="1492"/>
      <c r="AW53" s="1490">
        <v>0</v>
      </c>
      <c r="AX53" s="1491"/>
      <c r="AY53" s="1492"/>
      <c r="AZ53" s="1490">
        <f t="shared" si="3"/>
        <v>0</v>
      </c>
      <c r="BA53" s="1491"/>
      <c r="BB53" s="1491"/>
      <c r="BC53" s="1492"/>
    </row>
    <row r="54" spans="1:55" x14ac:dyDescent="0.35">
      <c r="A54" s="1498" t="s">
        <v>209</v>
      </c>
      <c r="B54" s="1499"/>
      <c r="C54" s="1490">
        <f t="shared" si="4"/>
        <v>0</v>
      </c>
      <c r="D54" s="1491"/>
      <c r="E54" s="1491"/>
      <c r="F54" s="1492"/>
      <c r="G54" s="1490">
        <v>0</v>
      </c>
      <c r="H54" s="1491"/>
      <c r="I54" s="1492"/>
      <c r="J54" s="1490">
        <f t="shared" si="5"/>
        <v>0</v>
      </c>
      <c r="K54" s="1491"/>
      <c r="L54" s="1491"/>
      <c r="M54" s="1492"/>
      <c r="O54" s="1498" t="s">
        <v>209</v>
      </c>
      <c r="P54" s="1499"/>
      <c r="Q54" s="1490">
        <v>0</v>
      </c>
      <c r="R54" s="1491"/>
      <c r="S54" s="1491"/>
      <c r="T54" s="1492"/>
      <c r="U54" s="1490">
        <v>0</v>
      </c>
      <c r="V54" s="1491"/>
      <c r="W54" s="1492"/>
      <c r="X54" s="1490">
        <f t="shared" si="6"/>
        <v>0</v>
      </c>
      <c r="Y54" s="1491"/>
      <c r="Z54" s="1491"/>
      <c r="AA54" s="1492"/>
      <c r="AC54" s="1498">
        <v>511245</v>
      </c>
      <c r="AD54" s="1499"/>
      <c r="AE54" s="1490">
        <f t="shared" si="7"/>
        <v>0</v>
      </c>
      <c r="AF54" s="1491"/>
      <c r="AG54" s="1491"/>
      <c r="AH54" s="1492"/>
      <c r="AI54" s="1490">
        <v>0</v>
      </c>
      <c r="AJ54" s="1491"/>
      <c r="AK54" s="1492"/>
      <c r="AL54" s="1490">
        <f t="shared" si="2"/>
        <v>0</v>
      </c>
      <c r="AM54" s="1491"/>
      <c r="AN54" s="1491"/>
      <c r="AO54" s="1492"/>
      <c r="AQ54" s="1498">
        <v>511245</v>
      </c>
      <c r="AR54" s="1499"/>
      <c r="AS54" s="1490">
        <v>0</v>
      </c>
      <c r="AT54" s="1491"/>
      <c r="AU54" s="1491"/>
      <c r="AV54" s="1492"/>
      <c r="AW54" s="1490">
        <v>0</v>
      </c>
      <c r="AX54" s="1491"/>
      <c r="AY54" s="1492"/>
      <c r="AZ54" s="1490">
        <f t="shared" si="3"/>
        <v>0</v>
      </c>
      <c r="BA54" s="1491"/>
      <c r="BB54" s="1491"/>
      <c r="BC54" s="1492"/>
    </row>
    <row r="55" spans="1:55" x14ac:dyDescent="0.35">
      <c r="A55" s="1498" t="s">
        <v>210</v>
      </c>
      <c r="B55" s="1499"/>
      <c r="C55" s="1490">
        <f t="shared" si="4"/>
        <v>0</v>
      </c>
      <c r="D55" s="1491"/>
      <c r="E55" s="1491"/>
      <c r="F55" s="1492"/>
      <c r="G55" s="1490">
        <v>0</v>
      </c>
      <c r="H55" s="1491"/>
      <c r="I55" s="1492"/>
      <c r="J55" s="1490">
        <f t="shared" si="5"/>
        <v>0</v>
      </c>
      <c r="K55" s="1491"/>
      <c r="L55" s="1491"/>
      <c r="M55" s="1492"/>
      <c r="O55" s="1498" t="s">
        <v>210</v>
      </c>
      <c r="P55" s="1499"/>
      <c r="Q55" s="1490">
        <v>0</v>
      </c>
      <c r="R55" s="1491"/>
      <c r="S55" s="1491"/>
      <c r="T55" s="1492"/>
      <c r="U55" s="1490">
        <v>0</v>
      </c>
      <c r="V55" s="1491"/>
      <c r="W55" s="1492"/>
      <c r="X55" s="1490">
        <f t="shared" si="6"/>
        <v>0</v>
      </c>
      <c r="Y55" s="1491"/>
      <c r="Z55" s="1491"/>
      <c r="AA55" s="1492"/>
      <c r="AC55" s="1498"/>
      <c r="AD55" s="1499"/>
      <c r="AE55" s="1490">
        <f t="shared" si="7"/>
        <v>0</v>
      </c>
      <c r="AF55" s="1491"/>
      <c r="AG55" s="1491"/>
      <c r="AH55" s="1492"/>
      <c r="AI55" s="1490">
        <v>0</v>
      </c>
      <c r="AJ55" s="1491"/>
      <c r="AK55" s="1492"/>
      <c r="AL55" s="1490">
        <f t="shared" si="2"/>
        <v>0</v>
      </c>
      <c r="AM55" s="1491"/>
      <c r="AN55" s="1491"/>
      <c r="AO55" s="1492"/>
      <c r="AQ55" s="1498"/>
      <c r="AR55" s="1499"/>
      <c r="AS55" s="1490">
        <v>0</v>
      </c>
      <c r="AT55" s="1491"/>
      <c r="AU55" s="1491"/>
      <c r="AV55" s="1492"/>
      <c r="AW55" s="1490">
        <v>0</v>
      </c>
      <c r="AX55" s="1491"/>
      <c r="AY55" s="1492"/>
      <c r="AZ55" s="1490">
        <f t="shared" si="3"/>
        <v>0</v>
      </c>
      <c r="BA55" s="1491"/>
      <c r="BB55" s="1491"/>
      <c r="BC55" s="1492"/>
    </row>
    <row r="56" spans="1:55" x14ac:dyDescent="0.35">
      <c r="A56" s="1498" t="s">
        <v>211</v>
      </c>
      <c r="B56" s="1499"/>
      <c r="C56" s="1490">
        <f t="shared" si="4"/>
        <v>0</v>
      </c>
      <c r="D56" s="1491"/>
      <c r="E56" s="1491"/>
      <c r="F56" s="1492"/>
      <c r="G56" s="1490">
        <v>0</v>
      </c>
      <c r="H56" s="1491"/>
      <c r="I56" s="1492"/>
      <c r="J56" s="1490">
        <f t="shared" si="5"/>
        <v>0</v>
      </c>
      <c r="K56" s="1491"/>
      <c r="L56" s="1491"/>
      <c r="M56" s="1492"/>
      <c r="O56" s="1498" t="s">
        <v>211</v>
      </c>
      <c r="P56" s="1499"/>
      <c r="Q56" s="1490">
        <v>0</v>
      </c>
      <c r="R56" s="1491"/>
      <c r="S56" s="1491"/>
      <c r="T56" s="1492"/>
      <c r="U56" s="1490">
        <v>0</v>
      </c>
      <c r="V56" s="1491"/>
      <c r="W56" s="1492"/>
      <c r="X56" s="1490">
        <f t="shared" si="6"/>
        <v>0</v>
      </c>
      <c r="Y56" s="1491"/>
      <c r="Z56" s="1491"/>
      <c r="AA56" s="1492"/>
      <c r="AC56" s="1493"/>
      <c r="AD56" s="1494"/>
      <c r="AE56" s="1490">
        <f t="shared" si="7"/>
        <v>0</v>
      </c>
      <c r="AF56" s="1491"/>
      <c r="AG56" s="1491"/>
      <c r="AH56" s="1492"/>
      <c r="AI56" s="1490">
        <v>0</v>
      </c>
      <c r="AJ56" s="1491"/>
      <c r="AK56" s="1492"/>
      <c r="AL56" s="1490">
        <f t="shared" si="2"/>
        <v>0</v>
      </c>
      <c r="AM56" s="1491"/>
      <c r="AN56" s="1491"/>
      <c r="AO56" s="1492"/>
      <c r="AQ56" s="1493"/>
      <c r="AR56" s="1494"/>
      <c r="AS56" s="1490">
        <v>0</v>
      </c>
      <c r="AT56" s="1491"/>
      <c r="AU56" s="1491"/>
      <c r="AV56" s="1492"/>
      <c r="AW56" s="1490">
        <v>0</v>
      </c>
      <c r="AX56" s="1491"/>
      <c r="AY56" s="1492"/>
      <c r="AZ56" s="1490">
        <f t="shared" si="3"/>
        <v>0</v>
      </c>
      <c r="BA56" s="1491"/>
      <c r="BB56" s="1491"/>
      <c r="BC56" s="1492"/>
    </row>
    <row r="57" spans="1:55" x14ac:dyDescent="0.35">
      <c r="A57" s="1498" t="s">
        <v>212</v>
      </c>
      <c r="B57" s="1499"/>
      <c r="C57" s="1490">
        <f t="shared" si="4"/>
        <v>0</v>
      </c>
      <c r="D57" s="1491"/>
      <c r="E57" s="1491"/>
      <c r="F57" s="1492"/>
      <c r="G57" s="1490">
        <v>0</v>
      </c>
      <c r="H57" s="1491"/>
      <c r="I57" s="1492"/>
      <c r="J57" s="1490">
        <f t="shared" si="5"/>
        <v>0</v>
      </c>
      <c r="K57" s="1491"/>
      <c r="L57" s="1491"/>
      <c r="M57" s="1492"/>
      <c r="O57" s="1498" t="s">
        <v>212</v>
      </c>
      <c r="P57" s="1499"/>
      <c r="Q57" s="1490">
        <v>0</v>
      </c>
      <c r="R57" s="1491"/>
      <c r="S57" s="1491"/>
      <c r="T57" s="1492"/>
      <c r="U57" s="1490">
        <v>0</v>
      </c>
      <c r="V57" s="1491"/>
      <c r="W57" s="1492"/>
      <c r="X57" s="1490">
        <f t="shared" si="6"/>
        <v>0</v>
      </c>
      <c r="Y57" s="1491"/>
      <c r="Z57" s="1491"/>
      <c r="AA57" s="1492"/>
      <c r="AC57" s="1498"/>
      <c r="AD57" s="1499"/>
      <c r="AE57" s="1490">
        <f t="shared" si="7"/>
        <v>0</v>
      </c>
      <c r="AF57" s="1491"/>
      <c r="AG57" s="1491"/>
      <c r="AH57" s="1492"/>
      <c r="AI57" s="1490">
        <v>0</v>
      </c>
      <c r="AJ57" s="1491"/>
      <c r="AK57" s="1492"/>
      <c r="AL57" s="1490">
        <f t="shared" si="2"/>
        <v>0</v>
      </c>
      <c r="AM57" s="1491"/>
      <c r="AN57" s="1491"/>
      <c r="AO57" s="1492"/>
      <c r="AQ57" s="1498"/>
      <c r="AR57" s="1499"/>
      <c r="AS57" s="1490">
        <v>0</v>
      </c>
      <c r="AT57" s="1491"/>
      <c r="AU57" s="1491"/>
      <c r="AV57" s="1492"/>
      <c r="AW57" s="1490">
        <v>0</v>
      </c>
      <c r="AX57" s="1491"/>
      <c r="AY57" s="1492"/>
      <c r="AZ57" s="1490">
        <f t="shared" si="3"/>
        <v>0</v>
      </c>
      <c r="BA57" s="1491"/>
      <c r="BB57" s="1491"/>
      <c r="BC57" s="1492"/>
    </row>
    <row r="58" spans="1:55" x14ac:dyDescent="0.35">
      <c r="A58" s="1498" t="s">
        <v>213</v>
      </c>
      <c r="B58" s="1499"/>
      <c r="C58" s="1490">
        <f t="shared" si="4"/>
        <v>0</v>
      </c>
      <c r="D58" s="1491"/>
      <c r="E58" s="1491"/>
      <c r="F58" s="1492"/>
      <c r="G58" s="1490">
        <v>0</v>
      </c>
      <c r="H58" s="1491"/>
      <c r="I58" s="1492"/>
      <c r="J58" s="1490">
        <f t="shared" si="5"/>
        <v>0</v>
      </c>
      <c r="K58" s="1491"/>
      <c r="L58" s="1491"/>
      <c r="M58" s="1492"/>
      <c r="O58" s="1498" t="s">
        <v>213</v>
      </c>
      <c r="P58" s="1499"/>
      <c r="Q58" s="1490">
        <v>0</v>
      </c>
      <c r="R58" s="1491"/>
      <c r="S58" s="1491"/>
      <c r="T58" s="1492"/>
      <c r="U58" s="1490">
        <v>0</v>
      </c>
      <c r="V58" s="1491"/>
      <c r="W58" s="1492"/>
      <c r="X58" s="1490">
        <f t="shared" si="6"/>
        <v>0</v>
      </c>
      <c r="Y58" s="1491"/>
      <c r="Z58" s="1491"/>
      <c r="AA58" s="1492"/>
      <c r="AC58" s="1498"/>
      <c r="AD58" s="1499"/>
      <c r="AE58" s="1490">
        <f t="shared" si="7"/>
        <v>0</v>
      </c>
      <c r="AF58" s="1491"/>
      <c r="AG58" s="1491"/>
      <c r="AH58" s="1492"/>
      <c r="AI58" s="1490">
        <v>0</v>
      </c>
      <c r="AJ58" s="1491"/>
      <c r="AK58" s="1492"/>
      <c r="AL58" s="1490">
        <f t="shared" si="2"/>
        <v>0</v>
      </c>
      <c r="AM58" s="1491"/>
      <c r="AN58" s="1491"/>
      <c r="AO58" s="1492"/>
      <c r="AQ58" s="1498"/>
      <c r="AR58" s="1499"/>
      <c r="AS58" s="1490">
        <v>0</v>
      </c>
      <c r="AT58" s="1491"/>
      <c r="AU58" s="1491"/>
      <c r="AV58" s="1492"/>
      <c r="AW58" s="1490">
        <v>0</v>
      </c>
      <c r="AX58" s="1491"/>
      <c r="AY58" s="1492"/>
      <c r="AZ58" s="1490">
        <f t="shared" si="3"/>
        <v>0</v>
      </c>
      <c r="BA58" s="1491"/>
      <c r="BB58" s="1491"/>
      <c r="BC58" s="1492"/>
    </row>
    <row r="59" spans="1:55" x14ac:dyDescent="0.35">
      <c r="A59" s="1498" t="s">
        <v>214</v>
      </c>
      <c r="B59" s="1499"/>
      <c r="C59" s="1490">
        <f t="shared" si="4"/>
        <v>0</v>
      </c>
      <c r="D59" s="1491"/>
      <c r="E59" s="1491"/>
      <c r="F59" s="1492"/>
      <c r="G59" s="1490">
        <v>0</v>
      </c>
      <c r="H59" s="1491"/>
      <c r="I59" s="1492"/>
      <c r="J59" s="1490">
        <f t="shared" si="5"/>
        <v>0</v>
      </c>
      <c r="K59" s="1491"/>
      <c r="L59" s="1491"/>
      <c r="M59" s="1492"/>
      <c r="O59" s="1498" t="s">
        <v>214</v>
      </c>
      <c r="P59" s="1499"/>
      <c r="Q59" s="1490">
        <v>0</v>
      </c>
      <c r="R59" s="1491"/>
      <c r="S59" s="1491"/>
      <c r="T59" s="1492"/>
      <c r="U59" s="1490">
        <v>0</v>
      </c>
      <c r="V59" s="1491"/>
      <c r="W59" s="1492"/>
      <c r="X59" s="1490">
        <f t="shared" si="6"/>
        <v>0</v>
      </c>
      <c r="Y59" s="1491"/>
      <c r="Z59" s="1491"/>
      <c r="AA59" s="1492"/>
      <c r="AC59" s="1498"/>
      <c r="AD59" s="1499"/>
      <c r="AE59" s="1490">
        <f t="shared" si="7"/>
        <v>0</v>
      </c>
      <c r="AF59" s="1491"/>
      <c r="AG59" s="1491"/>
      <c r="AH59" s="1492"/>
      <c r="AI59" s="1490">
        <v>0</v>
      </c>
      <c r="AJ59" s="1491"/>
      <c r="AK59" s="1492"/>
      <c r="AL59" s="1490">
        <f t="shared" si="2"/>
        <v>0</v>
      </c>
      <c r="AM59" s="1491"/>
      <c r="AN59" s="1491"/>
      <c r="AO59" s="1492"/>
      <c r="AQ59" s="1498"/>
      <c r="AR59" s="1499"/>
      <c r="AS59" s="1490">
        <v>0</v>
      </c>
      <c r="AT59" s="1491"/>
      <c r="AU59" s="1491"/>
      <c r="AV59" s="1492"/>
      <c r="AW59" s="1490">
        <v>0</v>
      </c>
      <c r="AX59" s="1491"/>
      <c r="AY59" s="1492"/>
      <c r="AZ59" s="1490">
        <f t="shared" si="3"/>
        <v>0</v>
      </c>
      <c r="BA59" s="1491"/>
      <c r="BB59" s="1491"/>
      <c r="BC59" s="1492"/>
    </row>
    <row r="60" spans="1:55" x14ac:dyDescent="0.35">
      <c r="A60" s="1498" t="s">
        <v>215</v>
      </c>
      <c r="B60" s="1499"/>
      <c r="C60" s="1490">
        <f t="shared" si="4"/>
        <v>0</v>
      </c>
      <c r="D60" s="1491"/>
      <c r="E60" s="1491"/>
      <c r="F60" s="1492"/>
      <c r="G60" s="1490">
        <v>0</v>
      </c>
      <c r="H60" s="1491"/>
      <c r="I60" s="1492"/>
      <c r="J60" s="1490">
        <f t="shared" si="5"/>
        <v>0</v>
      </c>
      <c r="K60" s="1491"/>
      <c r="L60" s="1491"/>
      <c r="M60" s="1492"/>
      <c r="O60" s="1498" t="s">
        <v>215</v>
      </c>
      <c r="P60" s="1499"/>
      <c r="Q60" s="1490">
        <v>0</v>
      </c>
      <c r="R60" s="1491"/>
      <c r="S60" s="1491"/>
      <c r="T60" s="1492"/>
      <c r="U60" s="1490">
        <v>0</v>
      </c>
      <c r="V60" s="1491"/>
      <c r="W60" s="1492"/>
      <c r="X60" s="1490">
        <f t="shared" si="6"/>
        <v>0</v>
      </c>
      <c r="Y60" s="1491"/>
      <c r="Z60" s="1491"/>
      <c r="AA60" s="1492"/>
      <c r="AC60" s="1498"/>
      <c r="AD60" s="1499"/>
      <c r="AE60" s="1490">
        <f t="shared" si="7"/>
        <v>0</v>
      </c>
      <c r="AF60" s="1491"/>
      <c r="AG60" s="1491"/>
      <c r="AH60" s="1492"/>
      <c r="AI60" s="1490">
        <v>0</v>
      </c>
      <c r="AJ60" s="1491"/>
      <c r="AK60" s="1492"/>
      <c r="AL60" s="1490">
        <f t="shared" si="2"/>
        <v>0</v>
      </c>
      <c r="AM60" s="1491"/>
      <c r="AN60" s="1491"/>
      <c r="AO60" s="1492"/>
      <c r="AQ60" s="1498"/>
      <c r="AR60" s="1499"/>
      <c r="AS60" s="1490">
        <v>0</v>
      </c>
      <c r="AT60" s="1491"/>
      <c r="AU60" s="1491"/>
      <c r="AV60" s="1492"/>
      <c r="AW60" s="1490">
        <v>0</v>
      </c>
      <c r="AX60" s="1491"/>
      <c r="AY60" s="1492"/>
      <c r="AZ60" s="1490">
        <f t="shared" si="3"/>
        <v>0</v>
      </c>
      <c r="BA60" s="1491"/>
      <c r="BB60" s="1491"/>
      <c r="BC60" s="1492"/>
    </row>
    <row r="61" spans="1:55" x14ac:dyDescent="0.35">
      <c r="A61" s="1524"/>
      <c r="B61" s="1525"/>
      <c r="C61" s="1490">
        <f t="shared" si="4"/>
        <v>0</v>
      </c>
      <c r="D61" s="1491"/>
      <c r="E61" s="1491"/>
      <c r="F61" s="1492"/>
      <c r="G61" s="1490">
        <v>0</v>
      </c>
      <c r="H61" s="1491"/>
      <c r="I61" s="1492"/>
      <c r="J61" s="1490">
        <f t="shared" si="5"/>
        <v>0</v>
      </c>
      <c r="K61" s="1491"/>
      <c r="L61" s="1491"/>
      <c r="M61" s="1492"/>
      <c r="O61" s="1524"/>
      <c r="P61" s="1525"/>
      <c r="Q61" s="1490"/>
      <c r="R61" s="1491"/>
      <c r="S61" s="1491"/>
      <c r="T61" s="1492"/>
      <c r="U61" s="1490"/>
      <c r="V61" s="1491"/>
      <c r="W61" s="1492"/>
      <c r="X61" s="1490"/>
      <c r="Y61" s="1491"/>
      <c r="Z61" s="1491"/>
      <c r="AA61" s="1492"/>
      <c r="AC61" s="1524"/>
      <c r="AD61" s="1525"/>
      <c r="AE61" s="1490">
        <f t="shared" si="7"/>
        <v>0</v>
      </c>
      <c r="AF61" s="1491"/>
      <c r="AG61" s="1491"/>
      <c r="AH61" s="1492"/>
      <c r="AI61" s="1490">
        <v>0</v>
      </c>
      <c r="AJ61" s="1491"/>
      <c r="AK61" s="1492"/>
      <c r="AL61" s="1490">
        <f t="shared" si="2"/>
        <v>0</v>
      </c>
      <c r="AM61" s="1491"/>
      <c r="AN61" s="1491"/>
      <c r="AO61" s="1492"/>
      <c r="AQ61" s="1524"/>
      <c r="AR61" s="1525"/>
      <c r="AS61" s="1490"/>
      <c r="AT61" s="1491"/>
      <c r="AU61" s="1491"/>
      <c r="AV61" s="1492"/>
      <c r="AW61" s="1490"/>
      <c r="AX61" s="1491"/>
      <c r="AY61" s="1492"/>
      <c r="AZ61" s="1490"/>
      <c r="BA61" s="1491"/>
      <c r="BB61" s="1491"/>
      <c r="BC61" s="1492"/>
    </row>
    <row r="62" spans="1:55" x14ac:dyDescent="0.35">
      <c r="A62" s="1524"/>
      <c r="B62" s="1525"/>
      <c r="C62" s="1490">
        <f t="shared" si="4"/>
        <v>0</v>
      </c>
      <c r="D62" s="1491"/>
      <c r="E62" s="1491"/>
      <c r="F62" s="1492"/>
      <c r="G62" s="1490">
        <v>0</v>
      </c>
      <c r="H62" s="1491"/>
      <c r="I62" s="1492"/>
      <c r="J62" s="1490">
        <f t="shared" si="5"/>
        <v>0</v>
      </c>
      <c r="K62" s="1491"/>
      <c r="L62" s="1491"/>
      <c r="M62" s="1492"/>
      <c r="O62" s="1524"/>
      <c r="P62" s="1525"/>
      <c r="Q62" s="1490"/>
      <c r="R62" s="1491"/>
      <c r="S62" s="1491"/>
      <c r="T62" s="1492"/>
      <c r="U62" s="1490"/>
      <c r="V62" s="1491"/>
      <c r="W62" s="1492"/>
      <c r="X62" s="1490"/>
      <c r="Y62" s="1491"/>
      <c r="Z62" s="1491"/>
      <c r="AA62" s="1492"/>
      <c r="AC62" s="1524"/>
      <c r="AD62" s="1525"/>
      <c r="AE62" s="1490">
        <f t="shared" si="7"/>
        <v>0</v>
      </c>
      <c r="AF62" s="1491"/>
      <c r="AG62" s="1491"/>
      <c r="AH62" s="1492"/>
      <c r="AI62" s="1490">
        <v>0</v>
      </c>
      <c r="AJ62" s="1491"/>
      <c r="AK62" s="1492"/>
      <c r="AL62" s="1490">
        <f t="shared" si="2"/>
        <v>0</v>
      </c>
      <c r="AM62" s="1491"/>
      <c r="AN62" s="1491"/>
      <c r="AO62" s="1492"/>
      <c r="AQ62" s="1524"/>
      <c r="AR62" s="1525"/>
      <c r="AS62" s="1490"/>
      <c r="AT62" s="1491"/>
      <c r="AU62" s="1491"/>
      <c r="AV62" s="1492"/>
      <c r="AW62" s="1490"/>
      <c r="AX62" s="1491"/>
      <c r="AY62" s="1492"/>
      <c r="AZ62" s="1490"/>
      <c r="BA62" s="1491"/>
      <c r="BB62" s="1491"/>
      <c r="BC62" s="1492"/>
    </row>
    <row r="63" spans="1:55" x14ac:dyDescent="0.35">
      <c r="A63" s="1493" t="s">
        <v>116</v>
      </c>
      <c r="B63" s="1494"/>
      <c r="C63" s="1521"/>
      <c r="D63" s="1522"/>
      <c r="E63" s="1522"/>
      <c r="F63" s="1523"/>
      <c r="G63" s="1521"/>
      <c r="H63" s="1522"/>
      <c r="I63" s="1523"/>
      <c r="J63" s="1521"/>
      <c r="K63" s="1522"/>
      <c r="L63" s="1522"/>
      <c r="M63" s="1523"/>
      <c r="O63" s="1493" t="s">
        <v>116</v>
      </c>
      <c r="P63" s="1494"/>
      <c r="Q63" s="1521"/>
      <c r="R63" s="1522"/>
      <c r="S63" s="1522"/>
      <c r="T63" s="1523"/>
      <c r="U63" s="1521"/>
      <c r="V63" s="1522"/>
      <c r="W63" s="1523"/>
      <c r="X63" s="1521"/>
      <c r="Y63" s="1522"/>
      <c r="Z63" s="1522"/>
      <c r="AA63" s="1523"/>
      <c r="AC63" s="1493" t="s">
        <v>116</v>
      </c>
      <c r="AD63" s="1494"/>
      <c r="AE63" s="1521"/>
      <c r="AF63" s="1522"/>
      <c r="AG63" s="1522"/>
      <c r="AH63" s="1523"/>
      <c r="AI63" s="1521"/>
      <c r="AJ63" s="1522"/>
      <c r="AK63" s="1523"/>
      <c r="AL63" s="1521"/>
      <c r="AM63" s="1522"/>
      <c r="AN63" s="1522"/>
      <c r="AO63" s="1523"/>
      <c r="AQ63" s="1493" t="s">
        <v>116</v>
      </c>
      <c r="AR63" s="1494"/>
      <c r="AS63" s="1521"/>
      <c r="AT63" s="1522"/>
      <c r="AU63" s="1522"/>
      <c r="AV63" s="1523"/>
      <c r="AW63" s="1521"/>
      <c r="AX63" s="1522"/>
      <c r="AY63" s="1523"/>
      <c r="AZ63" s="1521"/>
      <c r="BA63" s="1522"/>
      <c r="BB63" s="1522"/>
      <c r="BC63" s="1523"/>
    </row>
    <row r="64" spans="1:55" ht="16" thickBot="1" x14ac:dyDescent="0.4"/>
    <row r="65" spans="1:55" ht="16" thickTop="1" x14ac:dyDescent="0.35">
      <c r="A65" s="1502" t="s">
        <v>217</v>
      </c>
      <c r="B65" s="1503"/>
      <c r="C65" s="1503"/>
      <c r="D65" s="1503"/>
      <c r="E65" s="1503"/>
      <c r="F65" s="1503"/>
      <c r="G65" s="1503"/>
      <c r="H65" s="1503"/>
      <c r="I65" s="1503"/>
      <c r="J65" s="1503"/>
      <c r="K65" s="1503"/>
      <c r="L65" s="1503"/>
      <c r="M65" s="1503"/>
      <c r="N65" s="43"/>
      <c r="O65" s="1504" t="s">
        <v>181</v>
      </c>
      <c r="P65" s="1503"/>
      <c r="Q65" s="1503"/>
      <c r="R65" s="1505"/>
      <c r="S65" s="1505"/>
      <c r="T65" s="1505"/>
      <c r="U65" s="1505"/>
      <c r="V65" s="1505"/>
      <c r="W65" s="1505"/>
      <c r="X65" s="1505"/>
      <c r="Y65" s="1505"/>
      <c r="Z65" s="1505"/>
      <c r="AA65" s="1506"/>
      <c r="AC65" s="1502" t="s">
        <v>217</v>
      </c>
      <c r="AD65" s="1503"/>
      <c r="AE65" s="1503"/>
      <c r="AF65" s="1503"/>
      <c r="AG65" s="1503"/>
      <c r="AH65" s="1503"/>
      <c r="AI65" s="1503"/>
      <c r="AJ65" s="1503"/>
      <c r="AK65" s="1503"/>
      <c r="AL65" s="1503"/>
      <c r="AM65" s="1503"/>
      <c r="AN65" s="1503"/>
      <c r="AO65" s="1503"/>
      <c r="AP65" s="43"/>
      <c r="AQ65" s="1504" t="s">
        <v>181</v>
      </c>
      <c r="AR65" s="1503"/>
      <c r="AS65" s="1503"/>
      <c r="AT65" s="1505"/>
      <c r="AU65" s="1505"/>
      <c r="AV65" s="1505"/>
      <c r="AW65" s="1505"/>
      <c r="AX65" s="1505"/>
      <c r="AY65" s="1505"/>
      <c r="AZ65" s="1505"/>
      <c r="BA65" s="1505"/>
      <c r="BB65" s="1505"/>
      <c r="BC65" s="1506"/>
    </row>
    <row r="66" spans="1:55" ht="19.5" x14ac:dyDescent="0.45">
      <c r="A66" s="1507" t="s">
        <v>218</v>
      </c>
      <c r="B66" s="1508"/>
      <c r="C66" s="1508"/>
      <c r="D66" s="1508"/>
      <c r="E66" s="1508"/>
      <c r="F66" s="1508"/>
      <c r="G66" s="1508"/>
      <c r="H66" s="1508"/>
      <c r="I66" s="1508"/>
      <c r="J66" s="1508"/>
      <c r="K66" s="1508"/>
      <c r="L66" s="1508"/>
      <c r="M66" s="1509"/>
      <c r="N66" s="1509"/>
      <c r="O66" s="1510"/>
      <c r="P66" s="1510"/>
      <c r="Q66" s="1510"/>
      <c r="R66" s="1510"/>
      <c r="S66" s="1510"/>
      <c r="T66" s="1510"/>
      <c r="U66" s="1510"/>
      <c r="V66" s="1510"/>
      <c r="W66" s="1510"/>
      <c r="X66" s="1510"/>
      <c r="Y66" s="1510"/>
      <c r="Z66" s="1510"/>
      <c r="AA66" s="1511"/>
      <c r="AC66" s="1507" t="s">
        <v>220</v>
      </c>
      <c r="AD66" s="1508"/>
      <c r="AE66" s="1508"/>
      <c r="AF66" s="1508"/>
      <c r="AG66" s="1508"/>
      <c r="AH66" s="1508"/>
      <c r="AI66" s="1508"/>
      <c r="AJ66" s="1508"/>
      <c r="AK66" s="1508"/>
      <c r="AL66" s="1508"/>
      <c r="AM66" s="1508"/>
      <c r="AN66" s="1508"/>
      <c r="AO66" s="1509"/>
      <c r="AP66" s="1509"/>
      <c r="AQ66" s="1510"/>
      <c r="AR66" s="1510"/>
      <c r="AS66" s="1510"/>
      <c r="AT66" s="1510"/>
      <c r="AU66" s="1510"/>
      <c r="AV66" s="1510"/>
      <c r="AW66" s="1510"/>
      <c r="AX66" s="1510"/>
      <c r="AY66" s="1510"/>
      <c r="AZ66" s="1510"/>
      <c r="BA66" s="1510"/>
      <c r="BB66" s="1510"/>
      <c r="BC66" s="1511"/>
    </row>
    <row r="67" spans="1:55" x14ac:dyDescent="0.35">
      <c r="A67" s="1512" t="s">
        <v>185</v>
      </c>
      <c r="B67" s="1513"/>
      <c r="C67" s="1514" t="s">
        <v>46</v>
      </c>
      <c r="D67" s="1515"/>
      <c r="E67" s="1515"/>
      <c r="F67" s="1516"/>
      <c r="G67" s="1514" t="s">
        <v>46</v>
      </c>
      <c r="H67" s="1515"/>
      <c r="I67" s="1516"/>
      <c r="J67" s="1514" t="s">
        <v>183</v>
      </c>
      <c r="K67" s="1515"/>
      <c r="L67" s="1515"/>
      <c r="M67" s="1516"/>
      <c r="N67" s="39"/>
      <c r="O67" s="1512" t="s">
        <v>185</v>
      </c>
      <c r="P67" s="1513"/>
      <c r="Q67" s="1514" t="s">
        <v>46</v>
      </c>
      <c r="R67" s="1515"/>
      <c r="S67" s="1515"/>
      <c r="T67" s="1516"/>
      <c r="U67" s="1514" t="s">
        <v>46</v>
      </c>
      <c r="V67" s="1515"/>
      <c r="W67" s="1516"/>
      <c r="X67" s="1514" t="s">
        <v>183</v>
      </c>
      <c r="Y67" s="1515"/>
      <c r="Z67" s="1515"/>
      <c r="AA67" s="1516"/>
      <c r="AC67" s="1512" t="s">
        <v>185</v>
      </c>
      <c r="AD67" s="1513"/>
      <c r="AE67" s="1514" t="s">
        <v>46</v>
      </c>
      <c r="AF67" s="1515"/>
      <c r="AG67" s="1515"/>
      <c r="AH67" s="1516"/>
      <c r="AI67" s="1514" t="s">
        <v>46</v>
      </c>
      <c r="AJ67" s="1515"/>
      <c r="AK67" s="1516"/>
      <c r="AL67" s="1514" t="s">
        <v>183</v>
      </c>
      <c r="AM67" s="1515"/>
      <c r="AN67" s="1515"/>
      <c r="AO67" s="1516"/>
      <c r="AP67" s="39"/>
      <c r="AQ67" s="1512" t="s">
        <v>185</v>
      </c>
      <c r="AR67" s="1513"/>
      <c r="AS67" s="1514" t="s">
        <v>46</v>
      </c>
      <c r="AT67" s="1515"/>
      <c r="AU67" s="1515"/>
      <c r="AV67" s="1516"/>
      <c r="AW67" s="1514" t="s">
        <v>46</v>
      </c>
      <c r="AX67" s="1515"/>
      <c r="AY67" s="1516"/>
      <c r="AZ67" s="1514" t="s">
        <v>183</v>
      </c>
      <c r="BA67" s="1515"/>
      <c r="BB67" s="1515"/>
      <c r="BC67" s="1516"/>
    </row>
    <row r="68" spans="1:55" x14ac:dyDescent="0.35">
      <c r="A68" s="1519" t="s">
        <v>219</v>
      </c>
      <c r="B68" s="1520"/>
      <c r="C68" s="1490">
        <v>0</v>
      </c>
      <c r="D68" s="1491"/>
      <c r="E68" s="1491"/>
      <c r="F68" s="1492"/>
      <c r="G68" s="1490">
        <v>0</v>
      </c>
      <c r="H68" s="1491"/>
      <c r="I68" s="1492"/>
      <c r="J68" s="1490">
        <f>C68-G68</f>
        <v>0</v>
      </c>
      <c r="K68" s="1491"/>
      <c r="L68" s="1491"/>
      <c r="M68" s="1492"/>
      <c r="N68" s="40"/>
      <c r="O68" s="1498" t="s">
        <v>219</v>
      </c>
      <c r="P68" s="1499"/>
      <c r="Q68" s="1490">
        <v>0</v>
      </c>
      <c r="R68" s="1491"/>
      <c r="S68" s="1491"/>
      <c r="T68" s="1492"/>
      <c r="U68" s="1490">
        <v>0</v>
      </c>
      <c r="V68" s="1491"/>
      <c r="W68" s="1492"/>
      <c r="X68" s="1490">
        <f>Q68-U68</f>
        <v>0</v>
      </c>
      <c r="Y68" s="1491"/>
      <c r="Z68" s="1491"/>
      <c r="AA68" s="1492"/>
      <c r="AC68" s="1498">
        <v>511511</v>
      </c>
      <c r="AD68" s="1499"/>
      <c r="AE68" s="1490">
        <v>0</v>
      </c>
      <c r="AF68" s="1491"/>
      <c r="AG68" s="1491"/>
      <c r="AH68" s="1492"/>
      <c r="AI68" s="1490">
        <v>0</v>
      </c>
      <c r="AJ68" s="1491"/>
      <c r="AK68" s="1492"/>
      <c r="AL68" s="1490">
        <f>AE68-AI68</f>
        <v>0</v>
      </c>
      <c r="AM68" s="1491"/>
      <c r="AN68" s="1491"/>
      <c r="AO68" s="1492"/>
      <c r="AP68" s="40"/>
      <c r="AQ68" s="1498">
        <v>511511</v>
      </c>
      <c r="AR68" s="1499"/>
      <c r="AS68" s="1490">
        <v>0</v>
      </c>
      <c r="AT68" s="1491"/>
      <c r="AU68" s="1491"/>
      <c r="AV68" s="1492"/>
      <c r="AW68" s="1490">
        <v>0</v>
      </c>
      <c r="AX68" s="1491"/>
      <c r="AY68" s="1492"/>
      <c r="AZ68" s="1490">
        <f>AS68-AW68</f>
        <v>0</v>
      </c>
      <c r="BA68" s="1491"/>
      <c r="BB68" s="1491"/>
      <c r="BC68" s="1492"/>
    </row>
    <row r="69" spans="1:55" x14ac:dyDescent="0.35">
      <c r="A69" s="1498"/>
      <c r="B69" s="1499"/>
      <c r="C69" s="1490">
        <v>0</v>
      </c>
      <c r="D69" s="1491"/>
      <c r="E69" s="1491"/>
      <c r="F69" s="1492"/>
      <c r="G69" s="1490">
        <v>0</v>
      </c>
      <c r="H69" s="1491"/>
      <c r="I69" s="1492"/>
      <c r="J69" s="1490">
        <f>C69-G69</f>
        <v>0</v>
      </c>
      <c r="K69" s="1491"/>
      <c r="L69" s="1491"/>
      <c r="M69" s="1492"/>
      <c r="N69" s="40"/>
      <c r="O69" s="1498"/>
      <c r="P69" s="1499"/>
      <c r="Q69" s="1490">
        <v>0</v>
      </c>
      <c r="R69" s="1491"/>
      <c r="S69" s="1491"/>
      <c r="T69" s="1492"/>
      <c r="U69" s="1490">
        <v>0</v>
      </c>
      <c r="V69" s="1491"/>
      <c r="W69" s="1492"/>
      <c r="X69" s="1490">
        <f>Q69-U69</f>
        <v>0</v>
      </c>
      <c r="Y69" s="1491"/>
      <c r="Z69" s="1491"/>
      <c r="AA69" s="1492"/>
      <c r="AC69" s="1498">
        <v>511512</v>
      </c>
      <c r="AD69" s="1499"/>
      <c r="AE69" s="1490">
        <v>0</v>
      </c>
      <c r="AF69" s="1491"/>
      <c r="AG69" s="1491"/>
      <c r="AH69" s="1492"/>
      <c r="AI69" s="1490">
        <v>0</v>
      </c>
      <c r="AJ69" s="1491"/>
      <c r="AK69" s="1492"/>
      <c r="AL69" s="1490">
        <f>AE69-AI69</f>
        <v>0</v>
      </c>
      <c r="AM69" s="1491"/>
      <c r="AN69" s="1491"/>
      <c r="AO69" s="1492"/>
      <c r="AP69" s="40"/>
      <c r="AQ69" s="1498">
        <v>511512</v>
      </c>
      <c r="AR69" s="1499"/>
      <c r="AS69" s="1490">
        <v>0</v>
      </c>
      <c r="AT69" s="1491"/>
      <c r="AU69" s="1491"/>
      <c r="AV69" s="1492"/>
      <c r="AW69" s="1490">
        <v>0</v>
      </c>
      <c r="AX69" s="1491"/>
      <c r="AY69" s="1492"/>
      <c r="AZ69" s="1490">
        <f>AS69-AW69</f>
        <v>0</v>
      </c>
      <c r="BA69" s="1491"/>
      <c r="BB69" s="1491"/>
      <c r="BC69" s="1492"/>
    </row>
    <row r="70" spans="1:55" x14ac:dyDescent="0.35">
      <c r="A70" s="1498"/>
      <c r="B70" s="1499"/>
      <c r="C70" s="1490">
        <v>0</v>
      </c>
      <c r="D70" s="1491"/>
      <c r="E70" s="1491"/>
      <c r="F70" s="1492"/>
      <c r="G70" s="1490">
        <v>0</v>
      </c>
      <c r="H70" s="1491"/>
      <c r="I70" s="1492"/>
      <c r="J70" s="1490">
        <f>C70-G70</f>
        <v>0</v>
      </c>
      <c r="K70" s="1491"/>
      <c r="L70" s="1491"/>
      <c r="M70" s="1492"/>
      <c r="N70" s="40"/>
      <c r="O70" s="1498"/>
      <c r="P70" s="1499"/>
      <c r="Q70" s="1490">
        <v>0</v>
      </c>
      <c r="R70" s="1491"/>
      <c r="S70" s="1491"/>
      <c r="T70" s="1492"/>
      <c r="U70" s="1490">
        <v>0</v>
      </c>
      <c r="V70" s="1491"/>
      <c r="W70" s="1492"/>
      <c r="X70" s="1490">
        <f>Q70-U70</f>
        <v>0</v>
      </c>
      <c r="Y70" s="1491"/>
      <c r="Z70" s="1491"/>
      <c r="AA70" s="1492"/>
      <c r="AC70" s="1498">
        <v>511513</v>
      </c>
      <c r="AD70" s="1499"/>
      <c r="AE70" s="1490">
        <v>0</v>
      </c>
      <c r="AF70" s="1491"/>
      <c r="AG70" s="1491"/>
      <c r="AH70" s="1492"/>
      <c r="AI70" s="1490">
        <v>0</v>
      </c>
      <c r="AJ70" s="1491"/>
      <c r="AK70" s="1492"/>
      <c r="AL70" s="1490">
        <f>AE70-AI70</f>
        <v>0</v>
      </c>
      <c r="AM70" s="1491"/>
      <c r="AN70" s="1491"/>
      <c r="AO70" s="1492"/>
      <c r="AP70" s="40"/>
      <c r="AQ70" s="1498">
        <v>511513</v>
      </c>
      <c r="AR70" s="1499"/>
      <c r="AS70" s="1490">
        <v>0</v>
      </c>
      <c r="AT70" s="1491"/>
      <c r="AU70" s="1491"/>
      <c r="AV70" s="1492"/>
      <c r="AW70" s="1490">
        <v>0</v>
      </c>
      <c r="AX70" s="1491"/>
      <c r="AY70" s="1492"/>
      <c r="AZ70" s="1490">
        <f>AS70-AW70</f>
        <v>0</v>
      </c>
      <c r="BA70" s="1491"/>
      <c r="BB70" s="1491"/>
      <c r="BC70" s="1492"/>
    </row>
    <row r="71" spans="1:55" x14ac:dyDescent="0.35">
      <c r="A71" s="1498"/>
      <c r="B71" s="1499"/>
      <c r="C71" s="1490">
        <v>0</v>
      </c>
      <c r="D71" s="1491"/>
      <c r="E71" s="1491"/>
      <c r="F71" s="1492"/>
      <c r="G71" s="1490">
        <v>0</v>
      </c>
      <c r="H71" s="1491"/>
      <c r="I71" s="1492"/>
      <c r="J71" s="1490">
        <f>C71-G71</f>
        <v>0</v>
      </c>
      <c r="K71" s="1491"/>
      <c r="L71" s="1491"/>
      <c r="M71" s="1492"/>
      <c r="N71" s="40"/>
      <c r="O71" s="1498"/>
      <c r="P71" s="1499"/>
      <c r="Q71" s="1490">
        <v>0</v>
      </c>
      <c r="R71" s="1491"/>
      <c r="S71" s="1491"/>
      <c r="T71" s="1492"/>
      <c r="U71" s="1490">
        <v>0</v>
      </c>
      <c r="V71" s="1491"/>
      <c r="W71" s="1492"/>
      <c r="X71" s="1490">
        <f>Q71-U71</f>
        <v>0</v>
      </c>
      <c r="Y71" s="1491"/>
      <c r="Z71" s="1491"/>
      <c r="AA71" s="1492"/>
      <c r="AC71" s="1498">
        <v>511519</v>
      </c>
      <c r="AD71" s="1499"/>
      <c r="AE71" s="1490">
        <v>0</v>
      </c>
      <c r="AF71" s="1491"/>
      <c r="AG71" s="1491"/>
      <c r="AH71" s="1492"/>
      <c r="AI71" s="1490">
        <v>0</v>
      </c>
      <c r="AJ71" s="1491"/>
      <c r="AK71" s="1492"/>
      <c r="AL71" s="1490">
        <f>AE71-AI71</f>
        <v>0</v>
      </c>
      <c r="AM71" s="1491"/>
      <c r="AN71" s="1491"/>
      <c r="AO71" s="1492"/>
      <c r="AP71" s="40"/>
      <c r="AQ71" s="1498">
        <v>511519</v>
      </c>
      <c r="AR71" s="1499"/>
      <c r="AS71" s="1490">
        <v>0</v>
      </c>
      <c r="AT71" s="1491"/>
      <c r="AU71" s="1491"/>
      <c r="AV71" s="1492"/>
      <c r="AW71" s="1490">
        <v>0</v>
      </c>
      <c r="AX71" s="1491"/>
      <c r="AY71" s="1492"/>
      <c r="AZ71" s="1490">
        <f>AS71-AW71</f>
        <v>0</v>
      </c>
      <c r="BA71" s="1491"/>
      <c r="BB71" s="1491"/>
      <c r="BC71" s="1492"/>
    </row>
    <row r="72" spans="1:55" x14ac:dyDescent="0.35">
      <c r="A72" s="1493" t="s">
        <v>116</v>
      </c>
      <c r="B72" s="1494"/>
      <c r="C72" s="1495">
        <v>0</v>
      </c>
      <c r="D72" s="1496"/>
      <c r="E72" s="1496"/>
      <c r="F72" s="1497"/>
      <c r="G72" s="1495">
        <v>0</v>
      </c>
      <c r="H72" s="1496"/>
      <c r="I72" s="1497"/>
      <c r="J72" s="1495">
        <f>C72-G72</f>
        <v>0</v>
      </c>
      <c r="K72" s="1496"/>
      <c r="L72" s="1496"/>
      <c r="M72" s="1497"/>
      <c r="N72" s="41"/>
      <c r="O72" s="1493" t="s">
        <v>116</v>
      </c>
      <c r="P72" s="1494"/>
      <c r="Q72" s="1495">
        <v>0</v>
      </c>
      <c r="R72" s="1496"/>
      <c r="S72" s="1496"/>
      <c r="T72" s="1497"/>
      <c r="U72" s="1495">
        <v>0</v>
      </c>
      <c r="V72" s="1496"/>
      <c r="W72" s="1497"/>
      <c r="X72" s="1495">
        <f>Q72-U72</f>
        <v>0</v>
      </c>
      <c r="Y72" s="1496"/>
      <c r="Z72" s="1496"/>
      <c r="AA72" s="1497"/>
      <c r="AC72" s="1493" t="s">
        <v>116</v>
      </c>
      <c r="AD72" s="1494"/>
      <c r="AE72" s="1495">
        <v>0</v>
      </c>
      <c r="AF72" s="1496"/>
      <c r="AG72" s="1496"/>
      <c r="AH72" s="1497"/>
      <c r="AI72" s="1495">
        <v>0</v>
      </c>
      <c r="AJ72" s="1496"/>
      <c r="AK72" s="1497"/>
      <c r="AL72" s="1495">
        <f>AE72-AI72</f>
        <v>0</v>
      </c>
      <c r="AM72" s="1496"/>
      <c r="AN72" s="1496"/>
      <c r="AO72" s="1497"/>
      <c r="AP72" s="41"/>
      <c r="AQ72" s="1493" t="s">
        <v>116</v>
      </c>
      <c r="AR72" s="1494"/>
      <c r="AS72" s="1495">
        <v>0</v>
      </c>
      <c r="AT72" s="1496"/>
      <c r="AU72" s="1496"/>
      <c r="AV72" s="1497"/>
      <c r="AW72" s="1495">
        <v>0</v>
      </c>
      <c r="AX72" s="1496"/>
      <c r="AY72" s="1497"/>
      <c r="AZ72" s="1495">
        <f>AS72-AW72</f>
        <v>0</v>
      </c>
      <c r="BA72" s="1496"/>
      <c r="BB72" s="1496"/>
      <c r="BC72" s="1497"/>
    </row>
    <row r="74" spans="1:55" ht="16" thickBot="1" x14ac:dyDescent="0.4"/>
    <row r="75" spans="1:55" ht="16" thickTop="1" x14ac:dyDescent="0.35">
      <c r="A75" s="1502" t="s">
        <v>217</v>
      </c>
      <c r="B75" s="1503"/>
      <c r="C75" s="1503"/>
      <c r="D75" s="1503"/>
      <c r="E75" s="1503"/>
      <c r="F75" s="1503"/>
      <c r="G75" s="1503"/>
      <c r="H75" s="1503"/>
      <c r="I75" s="1503"/>
      <c r="J75" s="1503"/>
      <c r="K75" s="1503"/>
      <c r="L75" s="1503"/>
      <c r="M75" s="1503"/>
      <c r="N75" s="43"/>
      <c r="O75" s="1504" t="s">
        <v>181</v>
      </c>
      <c r="P75" s="1503"/>
      <c r="Q75" s="1503"/>
      <c r="R75" s="1505"/>
      <c r="S75" s="1505"/>
      <c r="T75" s="1505"/>
      <c r="U75" s="1505"/>
      <c r="V75" s="1505"/>
      <c r="W75" s="1505"/>
      <c r="X75" s="1505"/>
      <c r="Y75" s="1505"/>
      <c r="Z75" s="1505"/>
      <c r="AA75" s="1506"/>
    </row>
    <row r="76" spans="1:55" ht="19.5" x14ac:dyDescent="0.45">
      <c r="A76" s="1507" t="s">
        <v>221</v>
      </c>
      <c r="B76" s="1508"/>
      <c r="C76" s="1508"/>
      <c r="D76" s="1508"/>
      <c r="E76" s="1508"/>
      <c r="F76" s="1508"/>
      <c r="G76" s="1508"/>
      <c r="H76" s="1508"/>
      <c r="I76" s="1508"/>
      <c r="J76" s="1508"/>
      <c r="K76" s="1508"/>
      <c r="L76" s="1508"/>
      <c r="M76" s="1509"/>
      <c r="N76" s="1509"/>
      <c r="O76" s="1510"/>
      <c r="P76" s="1510"/>
      <c r="Q76" s="1510"/>
      <c r="R76" s="1510"/>
      <c r="S76" s="1510"/>
      <c r="T76" s="1510"/>
      <c r="U76" s="1510"/>
      <c r="V76" s="1510"/>
      <c r="W76" s="1510"/>
      <c r="X76" s="1510"/>
      <c r="Y76" s="1510"/>
      <c r="Z76" s="1510"/>
      <c r="AA76" s="1511"/>
    </row>
    <row r="77" spans="1:55" x14ac:dyDescent="0.35">
      <c r="A77" s="1512" t="s">
        <v>185</v>
      </c>
      <c r="B77" s="1513"/>
      <c r="C77" s="1514" t="s">
        <v>46</v>
      </c>
      <c r="D77" s="1515"/>
      <c r="E77" s="1515"/>
      <c r="F77" s="1516"/>
      <c r="G77" s="1514" t="s">
        <v>46</v>
      </c>
      <c r="H77" s="1515"/>
      <c r="I77" s="1516"/>
      <c r="J77" s="1514" t="s">
        <v>183</v>
      </c>
      <c r="K77" s="1515"/>
      <c r="L77" s="1515"/>
      <c r="M77" s="1516"/>
      <c r="N77" s="39"/>
      <c r="O77" s="1512" t="s">
        <v>185</v>
      </c>
      <c r="P77" s="1513"/>
      <c r="Q77" s="1514" t="s">
        <v>46</v>
      </c>
      <c r="R77" s="1515"/>
      <c r="S77" s="1515"/>
      <c r="T77" s="1516"/>
      <c r="U77" s="1514" t="s">
        <v>46</v>
      </c>
      <c r="V77" s="1515"/>
      <c r="W77" s="1516"/>
      <c r="X77" s="1514" t="s">
        <v>183</v>
      </c>
      <c r="Y77" s="1515"/>
      <c r="Z77" s="1515"/>
      <c r="AA77" s="1516"/>
    </row>
    <row r="78" spans="1:55" x14ac:dyDescent="0.35">
      <c r="A78" s="1517">
        <v>5121</v>
      </c>
      <c r="B78" s="1518"/>
      <c r="C78" s="1490">
        <v>0</v>
      </c>
      <c r="D78" s="1491"/>
      <c r="E78" s="1491"/>
      <c r="F78" s="1492"/>
      <c r="G78" s="1490">
        <v>0</v>
      </c>
      <c r="H78" s="1491"/>
      <c r="I78" s="1492"/>
      <c r="J78" s="1490">
        <f>C78-G78</f>
        <v>0</v>
      </c>
      <c r="K78" s="1491"/>
      <c r="L78" s="1491"/>
      <c r="M78" s="1492"/>
      <c r="N78" s="40"/>
      <c r="O78" s="1500">
        <v>5121</v>
      </c>
      <c r="P78" s="1501"/>
      <c r="Q78" s="1490">
        <v>0</v>
      </c>
      <c r="R78" s="1491"/>
      <c r="S78" s="1491"/>
      <c r="T78" s="1492"/>
      <c r="U78" s="1490">
        <v>0</v>
      </c>
      <c r="V78" s="1491"/>
      <c r="W78" s="1492"/>
      <c r="X78" s="1490">
        <f>Q78-U78</f>
        <v>0</v>
      </c>
      <c r="Y78" s="1491"/>
      <c r="Z78" s="1491"/>
      <c r="AA78" s="1492"/>
    </row>
    <row r="79" spans="1:55" x14ac:dyDescent="0.35">
      <c r="A79" s="1500">
        <v>5122</v>
      </c>
      <c r="B79" s="1501"/>
      <c r="C79" s="1490">
        <v>0</v>
      </c>
      <c r="D79" s="1491"/>
      <c r="E79" s="1491"/>
      <c r="F79" s="1492"/>
      <c r="G79" s="1490">
        <v>0</v>
      </c>
      <c r="H79" s="1491"/>
      <c r="I79" s="1492"/>
      <c r="J79" s="1490">
        <f>C79-G79</f>
        <v>0</v>
      </c>
      <c r="K79" s="1491"/>
      <c r="L79" s="1491"/>
      <c r="M79" s="1492"/>
      <c r="N79" s="40"/>
      <c r="O79" s="1500">
        <v>5122</v>
      </c>
      <c r="P79" s="1501"/>
      <c r="Q79" s="1490">
        <v>0</v>
      </c>
      <c r="R79" s="1491"/>
      <c r="S79" s="1491"/>
      <c r="T79" s="1492"/>
      <c r="U79" s="1490">
        <v>0</v>
      </c>
      <c r="V79" s="1491"/>
      <c r="W79" s="1492"/>
      <c r="X79" s="1490">
        <f>Q79-U79</f>
        <v>0</v>
      </c>
      <c r="Y79" s="1491"/>
      <c r="Z79" s="1491"/>
      <c r="AA79" s="1492"/>
    </row>
    <row r="80" spans="1:55" x14ac:dyDescent="0.35">
      <c r="A80" s="1500">
        <v>5123</v>
      </c>
      <c r="B80" s="1501"/>
      <c r="C80" s="1490"/>
      <c r="D80" s="1491"/>
      <c r="E80" s="1491"/>
      <c r="F80" s="1492"/>
      <c r="G80" s="1490"/>
      <c r="H80" s="1491"/>
      <c r="I80" s="1492"/>
      <c r="J80" s="1490"/>
      <c r="K80" s="1491"/>
      <c r="L80" s="1491"/>
      <c r="M80" s="1492"/>
      <c r="N80" s="40"/>
      <c r="O80" s="1500">
        <v>5123</v>
      </c>
      <c r="P80" s="1501"/>
      <c r="Q80" s="1490"/>
      <c r="R80" s="1491"/>
      <c r="S80" s="1491"/>
      <c r="T80" s="1492"/>
      <c r="U80" s="1490"/>
      <c r="V80" s="1491"/>
      <c r="W80" s="1492"/>
      <c r="X80" s="1490"/>
      <c r="Y80" s="1491"/>
      <c r="Z80" s="1491"/>
      <c r="AA80" s="1492"/>
    </row>
    <row r="81" spans="1:55" x14ac:dyDescent="0.35">
      <c r="A81" s="1500">
        <v>5124</v>
      </c>
      <c r="B81" s="1501"/>
      <c r="C81" s="1490">
        <v>0</v>
      </c>
      <c r="D81" s="1491"/>
      <c r="E81" s="1491"/>
      <c r="F81" s="1492"/>
      <c r="G81" s="1490">
        <v>0</v>
      </c>
      <c r="H81" s="1491"/>
      <c r="I81" s="1492"/>
      <c r="J81" s="1490">
        <f>C81-G81</f>
        <v>0</v>
      </c>
      <c r="K81" s="1491"/>
      <c r="L81" s="1491"/>
      <c r="M81" s="1492"/>
      <c r="N81" s="40"/>
      <c r="O81" s="1500">
        <v>5124</v>
      </c>
      <c r="P81" s="1501"/>
      <c r="Q81" s="1490">
        <v>0</v>
      </c>
      <c r="R81" s="1491"/>
      <c r="S81" s="1491"/>
      <c r="T81" s="1492"/>
      <c r="U81" s="1490">
        <v>0</v>
      </c>
      <c r="V81" s="1491"/>
      <c r="W81" s="1492"/>
      <c r="X81" s="1490">
        <f>Q81-U81</f>
        <v>0</v>
      </c>
      <c r="Y81" s="1491"/>
      <c r="Z81" s="1491"/>
      <c r="AA81" s="1492"/>
    </row>
    <row r="82" spans="1:55" x14ac:dyDescent="0.35">
      <c r="A82" s="1498"/>
      <c r="B82" s="1499"/>
      <c r="C82" s="1490">
        <v>0</v>
      </c>
      <c r="D82" s="1491"/>
      <c r="E82" s="1491"/>
      <c r="F82" s="1492"/>
      <c r="G82" s="1490">
        <v>0</v>
      </c>
      <c r="H82" s="1491"/>
      <c r="I82" s="1492"/>
      <c r="J82" s="1490">
        <f>C82-G82</f>
        <v>0</v>
      </c>
      <c r="K82" s="1491"/>
      <c r="L82" s="1491"/>
      <c r="M82" s="1492"/>
      <c r="N82" s="40"/>
      <c r="O82" s="1498"/>
      <c r="P82" s="1499"/>
      <c r="Q82" s="1490">
        <v>0</v>
      </c>
      <c r="R82" s="1491"/>
      <c r="S82" s="1491"/>
      <c r="T82" s="1492"/>
      <c r="U82" s="1490">
        <v>0</v>
      </c>
      <c r="V82" s="1491"/>
      <c r="W82" s="1492"/>
      <c r="X82" s="1490">
        <f>Q82-U82</f>
        <v>0</v>
      </c>
      <c r="Y82" s="1491"/>
      <c r="Z82" s="1491"/>
      <c r="AA82" s="1492"/>
    </row>
    <row r="83" spans="1:55" x14ac:dyDescent="0.35">
      <c r="A83" s="1493" t="s">
        <v>116</v>
      </c>
      <c r="B83" s="1494"/>
      <c r="C83" s="1495">
        <v>0</v>
      </c>
      <c r="D83" s="1496"/>
      <c r="E83" s="1496"/>
      <c r="F83" s="1497"/>
      <c r="G83" s="1495">
        <v>0</v>
      </c>
      <c r="H83" s="1496"/>
      <c r="I83" s="1497"/>
      <c r="J83" s="1495">
        <f>C83-G83</f>
        <v>0</v>
      </c>
      <c r="K83" s="1496"/>
      <c r="L83" s="1496"/>
      <c r="M83" s="1497"/>
      <c r="N83" s="41"/>
      <c r="O83" s="1493" t="s">
        <v>116</v>
      </c>
      <c r="P83" s="1494"/>
      <c r="Q83" s="1495">
        <v>0</v>
      </c>
      <c r="R83" s="1496"/>
      <c r="S83" s="1496"/>
      <c r="T83" s="1497"/>
      <c r="U83" s="1495">
        <v>0</v>
      </c>
      <c r="V83" s="1496"/>
      <c r="W83" s="1497"/>
      <c r="X83" s="1495">
        <f>Q83-U83</f>
        <v>0</v>
      </c>
      <c r="Y83" s="1496"/>
      <c r="Z83" s="1496"/>
      <c r="AA83" s="1497"/>
    </row>
    <row r="85" spans="1:55" ht="16" thickBot="1" x14ac:dyDescent="0.4"/>
    <row r="86" spans="1:55" ht="16" thickTop="1" x14ac:dyDescent="0.35">
      <c r="A86" s="1502" t="s">
        <v>217</v>
      </c>
      <c r="B86" s="1503"/>
      <c r="C86" s="1503"/>
      <c r="D86" s="1503"/>
      <c r="E86" s="1503"/>
      <c r="F86" s="1503"/>
      <c r="G86" s="1503"/>
      <c r="H86" s="1503"/>
      <c r="I86" s="1503"/>
      <c r="J86" s="1503"/>
      <c r="K86" s="1503"/>
      <c r="L86" s="1503"/>
      <c r="M86" s="1503"/>
      <c r="N86" s="43"/>
      <c r="O86" s="1504" t="s">
        <v>181</v>
      </c>
      <c r="P86" s="1503"/>
      <c r="Q86" s="1503"/>
      <c r="R86" s="1505"/>
      <c r="S86" s="1505"/>
      <c r="T86" s="1505"/>
      <c r="U86" s="1505"/>
      <c r="V86" s="1505"/>
      <c r="W86" s="1505"/>
      <c r="X86" s="1505"/>
      <c r="Y86" s="1505"/>
      <c r="Z86" s="1505"/>
      <c r="AA86" s="1506"/>
      <c r="AC86" s="1502" t="s">
        <v>217</v>
      </c>
      <c r="AD86" s="1503"/>
      <c r="AE86" s="1503"/>
      <c r="AF86" s="1503"/>
      <c r="AG86" s="1503"/>
      <c r="AH86" s="1503"/>
      <c r="AI86" s="1503"/>
      <c r="AJ86" s="1503"/>
      <c r="AK86" s="1503"/>
      <c r="AL86" s="1503"/>
      <c r="AM86" s="1503"/>
      <c r="AN86" s="1503"/>
      <c r="AO86" s="1503"/>
      <c r="AP86" s="43"/>
      <c r="AQ86" s="1504" t="s">
        <v>181</v>
      </c>
      <c r="AR86" s="1503"/>
      <c r="AS86" s="1503"/>
      <c r="AT86" s="1505"/>
      <c r="AU86" s="1505"/>
      <c r="AV86" s="1505"/>
      <c r="AW86" s="1505"/>
      <c r="AX86" s="1505"/>
      <c r="AY86" s="1505"/>
      <c r="AZ86" s="1505"/>
      <c r="BA86" s="1505"/>
      <c r="BB86" s="1505"/>
      <c r="BC86" s="1506"/>
    </row>
    <row r="87" spans="1:55" ht="19.5" x14ac:dyDescent="0.45">
      <c r="A87" s="1507" t="s">
        <v>222</v>
      </c>
      <c r="B87" s="1508"/>
      <c r="C87" s="1508"/>
      <c r="D87" s="1508"/>
      <c r="E87" s="1508"/>
      <c r="F87" s="1508"/>
      <c r="G87" s="1508"/>
      <c r="H87" s="1508"/>
      <c r="I87" s="1508"/>
      <c r="J87" s="1508"/>
      <c r="K87" s="1508"/>
      <c r="L87" s="1508"/>
      <c r="M87" s="1509"/>
      <c r="N87" s="1509"/>
      <c r="O87" s="1510"/>
      <c r="P87" s="1510"/>
      <c r="Q87" s="1510"/>
      <c r="R87" s="1510"/>
      <c r="S87" s="1510"/>
      <c r="T87" s="1510"/>
      <c r="U87" s="1510"/>
      <c r="V87" s="1510"/>
      <c r="W87" s="1510"/>
      <c r="X87" s="1510"/>
      <c r="Y87" s="1510"/>
      <c r="Z87" s="1510"/>
      <c r="AA87" s="1511"/>
      <c r="AC87" s="1507" t="s">
        <v>223</v>
      </c>
      <c r="AD87" s="1508"/>
      <c r="AE87" s="1508"/>
      <c r="AF87" s="1508"/>
      <c r="AG87" s="1508"/>
      <c r="AH87" s="1508"/>
      <c r="AI87" s="1508"/>
      <c r="AJ87" s="1508"/>
      <c r="AK87" s="1508"/>
      <c r="AL87" s="1508"/>
      <c r="AM87" s="1508"/>
      <c r="AN87" s="1508"/>
      <c r="AO87" s="1509"/>
      <c r="AP87" s="1509"/>
      <c r="AQ87" s="1510"/>
      <c r="AR87" s="1510"/>
      <c r="AS87" s="1510"/>
      <c r="AT87" s="1510"/>
      <c r="AU87" s="1510"/>
      <c r="AV87" s="1510"/>
      <c r="AW87" s="1510"/>
      <c r="AX87" s="1510"/>
      <c r="AY87" s="1510"/>
      <c r="AZ87" s="1510"/>
      <c r="BA87" s="1510"/>
      <c r="BB87" s="1510"/>
      <c r="BC87" s="1511"/>
    </row>
    <row r="88" spans="1:55" x14ac:dyDescent="0.35">
      <c r="A88" s="1512" t="s">
        <v>185</v>
      </c>
      <c r="B88" s="1513"/>
      <c r="C88" s="1514" t="s">
        <v>46</v>
      </c>
      <c r="D88" s="1515"/>
      <c r="E88" s="1515"/>
      <c r="F88" s="1516"/>
      <c r="G88" s="1514" t="s">
        <v>46</v>
      </c>
      <c r="H88" s="1515"/>
      <c r="I88" s="1516"/>
      <c r="J88" s="1514" t="s">
        <v>183</v>
      </c>
      <c r="K88" s="1515"/>
      <c r="L88" s="1515"/>
      <c r="M88" s="1516"/>
      <c r="N88" s="39"/>
      <c r="O88" s="1512" t="s">
        <v>185</v>
      </c>
      <c r="P88" s="1513"/>
      <c r="Q88" s="1514" t="s">
        <v>46</v>
      </c>
      <c r="R88" s="1515"/>
      <c r="S88" s="1515"/>
      <c r="T88" s="1516"/>
      <c r="U88" s="1514" t="s">
        <v>46</v>
      </c>
      <c r="V88" s="1515"/>
      <c r="W88" s="1516"/>
      <c r="X88" s="1514" t="s">
        <v>183</v>
      </c>
      <c r="Y88" s="1515"/>
      <c r="Z88" s="1515"/>
      <c r="AA88" s="1516"/>
      <c r="AC88" s="1512" t="s">
        <v>185</v>
      </c>
      <c r="AD88" s="1513"/>
      <c r="AE88" s="1514" t="s">
        <v>46</v>
      </c>
      <c r="AF88" s="1515"/>
      <c r="AG88" s="1515"/>
      <c r="AH88" s="1516"/>
      <c r="AI88" s="1514" t="s">
        <v>46</v>
      </c>
      <c r="AJ88" s="1515"/>
      <c r="AK88" s="1516"/>
      <c r="AL88" s="1514" t="s">
        <v>183</v>
      </c>
      <c r="AM88" s="1515"/>
      <c r="AN88" s="1515"/>
      <c r="AO88" s="1516"/>
      <c r="AP88" s="39"/>
      <c r="AQ88" s="1512" t="s">
        <v>185</v>
      </c>
      <c r="AR88" s="1513"/>
      <c r="AS88" s="1514" t="s">
        <v>46</v>
      </c>
      <c r="AT88" s="1515"/>
      <c r="AU88" s="1515"/>
      <c r="AV88" s="1516"/>
      <c r="AW88" s="1514" t="s">
        <v>46</v>
      </c>
      <c r="AX88" s="1515"/>
      <c r="AY88" s="1516"/>
      <c r="AZ88" s="1514" t="s">
        <v>183</v>
      </c>
      <c r="BA88" s="1515"/>
      <c r="BB88" s="1515"/>
      <c r="BC88" s="1516"/>
    </row>
    <row r="89" spans="1:55" x14ac:dyDescent="0.35">
      <c r="A89" s="1517">
        <v>521111</v>
      </c>
      <c r="B89" s="1518"/>
      <c r="C89" s="1490">
        <v>0</v>
      </c>
      <c r="D89" s="1491"/>
      <c r="E89" s="1491"/>
      <c r="F89" s="1492"/>
      <c r="G89" s="1490">
        <v>0</v>
      </c>
      <c r="H89" s="1491"/>
      <c r="I89" s="1492"/>
      <c r="J89" s="1490">
        <f t="shared" ref="J89:J96" si="8">C89-G89</f>
        <v>0</v>
      </c>
      <c r="K89" s="1491"/>
      <c r="L89" s="1491"/>
      <c r="M89" s="1492"/>
      <c r="N89" s="40"/>
      <c r="O89" s="1500">
        <v>521111</v>
      </c>
      <c r="P89" s="1501"/>
      <c r="Q89" s="1490">
        <v>0</v>
      </c>
      <c r="R89" s="1491"/>
      <c r="S89" s="1491"/>
      <c r="T89" s="1492"/>
      <c r="U89" s="1490">
        <v>0</v>
      </c>
      <c r="V89" s="1491"/>
      <c r="W89" s="1492"/>
      <c r="X89" s="1490">
        <f>Q89-U89</f>
        <v>0</v>
      </c>
      <c r="Y89" s="1491"/>
      <c r="Z89" s="1491"/>
      <c r="AA89" s="1492"/>
      <c r="AC89" s="1500"/>
      <c r="AD89" s="1501"/>
      <c r="AE89" s="1490">
        <v>0</v>
      </c>
      <c r="AF89" s="1491"/>
      <c r="AG89" s="1491"/>
      <c r="AH89" s="1492"/>
      <c r="AI89" s="1490">
        <v>0</v>
      </c>
      <c r="AJ89" s="1491"/>
      <c r="AK89" s="1492"/>
      <c r="AL89" s="1490">
        <f t="shared" ref="AL89:AL96" si="9">AE89-AI89</f>
        <v>0</v>
      </c>
      <c r="AM89" s="1491"/>
      <c r="AN89" s="1491"/>
      <c r="AO89" s="1492"/>
      <c r="AP89" s="40"/>
      <c r="AQ89" s="1500"/>
      <c r="AR89" s="1501"/>
      <c r="AS89" s="1490">
        <v>0</v>
      </c>
      <c r="AT89" s="1491"/>
      <c r="AU89" s="1491"/>
      <c r="AV89" s="1492"/>
      <c r="AW89" s="1490">
        <v>0</v>
      </c>
      <c r="AX89" s="1491"/>
      <c r="AY89" s="1492"/>
      <c r="AZ89" s="1490">
        <f>AS89-AW89</f>
        <v>0</v>
      </c>
      <c r="BA89" s="1491"/>
      <c r="BB89" s="1491"/>
      <c r="BC89" s="1492"/>
    </row>
    <row r="90" spans="1:55" x14ac:dyDescent="0.35">
      <c r="A90" s="1500">
        <v>521112</v>
      </c>
      <c r="B90" s="1501"/>
      <c r="C90" s="1490">
        <v>0</v>
      </c>
      <c r="D90" s="1491"/>
      <c r="E90" s="1491"/>
      <c r="F90" s="1492"/>
      <c r="G90" s="1490">
        <v>0</v>
      </c>
      <c r="H90" s="1491"/>
      <c r="I90" s="1492"/>
      <c r="J90" s="1490">
        <f t="shared" si="8"/>
        <v>0</v>
      </c>
      <c r="K90" s="1491"/>
      <c r="L90" s="1491"/>
      <c r="M90" s="1492"/>
      <c r="N90" s="40"/>
      <c r="O90" s="1500">
        <v>521112</v>
      </c>
      <c r="P90" s="1501"/>
      <c r="Q90" s="1490"/>
      <c r="R90" s="1491"/>
      <c r="S90" s="1491"/>
      <c r="T90" s="1492"/>
      <c r="U90" s="1490"/>
      <c r="V90" s="1491"/>
      <c r="W90" s="1492"/>
      <c r="X90" s="1490"/>
      <c r="Y90" s="1491"/>
      <c r="Z90" s="1491"/>
      <c r="AA90" s="1492"/>
      <c r="AC90" s="1500"/>
      <c r="AD90" s="1501"/>
      <c r="AE90" s="1490">
        <v>0</v>
      </c>
      <c r="AF90" s="1491"/>
      <c r="AG90" s="1491"/>
      <c r="AH90" s="1492"/>
      <c r="AI90" s="1490">
        <v>0</v>
      </c>
      <c r="AJ90" s="1491"/>
      <c r="AK90" s="1492"/>
      <c r="AL90" s="1490">
        <f t="shared" si="9"/>
        <v>0</v>
      </c>
      <c r="AM90" s="1491"/>
      <c r="AN90" s="1491"/>
      <c r="AO90" s="1492"/>
      <c r="AP90" s="40"/>
      <c r="AQ90" s="1500"/>
      <c r="AR90" s="1501"/>
      <c r="AS90" s="1490"/>
      <c r="AT90" s="1491"/>
      <c r="AU90" s="1491"/>
      <c r="AV90" s="1492"/>
      <c r="AW90" s="1490"/>
      <c r="AX90" s="1491"/>
      <c r="AY90" s="1492"/>
      <c r="AZ90" s="1490"/>
      <c r="BA90" s="1491"/>
      <c r="BB90" s="1491"/>
      <c r="BC90" s="1492"/>
    </row>
    <row r="91" spans="1:55" x14ac:dyDescent="0.35">
      <c r="A91" s="1500">
        <v>521113</v>
      </c>
      <c r="B91" s="1501"/>
      <c r="C91" s="1490">
        <v>0</v>
      </c>
      <c r="D91" s="1491"/>
      <c r="E91" s="1491"/>
      <c r="F91" s="1492"/>
      <c r="G91" s="1490">
        <v>0</v>
      </c>
      <c r="H91" s="1491"/>
      <c r="I91" s="1492"/>
      <c r="J91" s="1490">
        <f t="shared" si="8"/>
        <v>0</v>
      </c>
      <c r="K91" s="1491"/>
      <c r="L91" s="1491"/>
      <c r="M91" s="1492"/>
      <c r="N91" s="40"/>
      <c r="O91" s="1500">
        <v>521113</v>
      </c>
      <c r="P91" s="1501"/>
      <c r="Q91" s="1490"/>
      <c r="R91" s="1491"/>
      <c r="S91" s="1491"/>
      <c r="T91" s="1492"/>
      <c r="U91" s="1490"/>
      <c r="V91" s="1491"/>
      <c r="W91" s="1492"/>
      <c r="X91" s="1490"/>
      <c r="Y91" s="1491"/>
      <c r="Z91" s="1491"/>
      <c r="AA91" s="1492"/>
      <c r="AC91" s="1500"/>
      <c r="AD91" s="1501"/>
      <c r="AE91" s="1490">
        <v>0</v>
      </c>
      <c r="AF91" s="1491"/>
      <c r="AG91" s="1491"/>
      <c r="AH91" s="1492"/>
      <c r="AI91" s="1490">
        <v>0</v>
      </c>
      <c r="AJ91" s="1491"/>
      <c r="AK91" s="1492"/>
      <c r="AL91" s="1490">
        <f t="shared" si="9"/>
        <v>0</v>
      </c>
      <c r="AM91" s="1491"/>
      <c r="AN91" s="1491"/>
      <c r="AO91" s="1492"/>
      <c r="AP91" s="40"/>
      <c r="AQ91" s="1500"/>
      <c r="AR91" s="1501"/>
      <c r="AS91" s="1490"/>
      <c r="AT91" s="1491"/>
      <c r="AU91" s="1491"/>
      <c r="AV91" s="1492"/>
      <c r="AW91" s="1490"/>
      <c r="AX91" s="1491"/>
      <c r="AY91" s="1492"/>
      <c r="AZ91" s="1490"/>
      <c r="BA91" s="1491"/>
      <c r="BB91" s="1491"/>
      <c r="BC91" s="1492"/>
    </row>
    <row r="92" spans="1:55" x14ac:dyDescent="0.35">
      <c r="A92" s="1500">
        <v>521114</v>
      </c>
      <c r="B92" s="1501"/>
      <c r="C92" s="1490">
        <v>0</v>
      </c>
      <c r="D92" s="1491"/>
      <c r="E92" s="1491"/>
      <c r="F92" s="1492"/>
      <c r="G92" s="1490">
        <v>0</v>
      </c>
      <c r="H92" s="1491"/>
      <c r="I92" s="1492"/>
      <c r="J92" s="1490">
        <f t="shared" si="8"/>
        <v>0</v>
      </c>
      <c r="K92" s="1491"/>
      <c r="L92" s="1491"/>
      <c r="M92" s="1492"/>
      <c r="N92" s="40"/>
      <c r="O92" s="1500">
        <v>521114</v>
      </c>
      <c r="P92" s="1501"/>
      <c r="Q92" s="1490"/>
      <c r="R92" s="1491"/>
      <c r="S92" s="1491"/>
      <c r="T92" s="1492"/>
      <c r="U92" s="1490"/>
      <c r="V92" s="1491"/>
      <c r="W92" s="1492"/>
      <c r="X92" s="1490"/>
      <c r="Y92" s="1491"/>
      <c r="Z92" s="1491"/>
      <c r="AA92" s="1492"/>
      <c r="AC92" s="1500"/>
      <c r="AD92" s="1501"/>
      <c r="AE92" s="1490">
        <v>0</v>
      </c>
      <c r="AF92" s="1491"/>
      <c r="AG92" s="1491"/>
      <c r="AH92" s="1492"/>
      <c r="AI92" s="1490">
        <v>0</v>
      </c>
      <c r="AJ92" s="1491"/>
      <c r="AK92" s="1492"/>
      <c r="AL92" s="1490">
        <f t="shared" si="9"/>
        <v>0</v>
      </c>
      <c r="AM92" s="1491"/>
      <c r="AN92" s="1491"/>
      <c r="AO92" s="1492"/>
      <c r="AP92" s="40"/>
      <c r="AQ92" s="1500"/>
      <c r="AR92" s="1501"/>
      <c r="AS92" s="1490"/>
      <c r="AT92" s="1491"/>
      <c r="AU92" s="1491"/>
      <c r="AV92" s="1492"/>
      <c r="AW92" s="1490"/>
      <c r="AX92" s="1491"/>
      <c r="AY92" s="1492"/>
      <c r="AZ92" s="1490"/>
      <c r="BA92" s="1491"/>
      <c r="BB92" s="1491"/>
      <c r="BC92" s="1492"/>
    </row>
    <row r="93" spans="1:55" x14ac:dyDescent="0.35">
      <c r="A93" s="1500">
        <v>521115</v>
      </c>
      <c r="B93" s="1501"/>
      <c r="C93" s="1490">
        <v>0</v>
      </c>
      <c r="D93" s="1491"/>
      <c r="E93" s="1491"/>
      <c r="F93" s="1492"/>
      <c r="G93" s="1490">
        <v>0</v>
      </c>
      <c r="H93" s="1491"/>
      <c r="I93" s="1492"/>
      <c r="J93" s="1490">
        <f t="shared" si="8"/>
        <v>0</v>
      </c>
      <c r="K93" s="1491"/>
      <c r="L93" s="1491"/>
      <c r="M93" s="1492"/>
      <c r="N93" s="40"/>
      <c r="O93" s="1500">
        <v>521115</v>
      </c>
      <c r="P93" s="1501"/>
      <c r="Q93" s="1490">
        <v>0</v>
      </c>
      <c r="R93" s="1491"/>
      <c r="S93" s="1491"/>
      <c r="T93" s="1492"/>
      <c r="U93" s="1490">
        <v>0</v>
      </c>
      <c r="V93" s="1491"/>
      <c r="W93" s="1492"/>
      <c r="X93" s="1490">
        <f>Q93-U93</f>
        <v>0</v>
      </c>
      <c r="Y93" s="1491"/>
      <c r="Z93" s="1491"/>
      <c r="AA93" s="1492"/>
      <c r="AC93" s="1500"/>
      <c r="AD93" s="1501"/>
      <c r="AE93" s="1490">
        <v>0</v>
      </c>
      <c r="AF93" s="1491"/>
      <c r="AG93" s="1491"/>
      <c r="AH93" s="1492"/>
      <c r="AI93" s="1490">
        <v>0</v>
      </c>
      <c r="AJ93" s="1491"/>
      <c r="AK93" s="1492"/>
      <c r="AL93" s="1490">
        <f t="shared" si="9"/>
        <v>0</v>
      </c>
      <c r="AM93" s="1491"/>
      <c r="AN93" s="1491"/>
      <c r="AO93" s="1492"/>
      <c r="AP93" s="40"/>
      <c r="AQ93" s="1500"/>
      <c r="AR93" s="1501"/>
      <c r="AS93" s="1490">
        <v>0</v>
      </c>
      <c r="AT93" s="1491"/>
      <c r="AU93" s="1491"/>
      <c r="AV93" s="1492"/>
      <c r="AW93" s="1490">
        <v>0</v>
      </c>
      <c r="AX93" s="1491"/>
      <c r="AY93" s="1492"/>
      <c r="AZ93" s="1490">
        <f>AS93-AW93</f>
        <v>0</v>
      </c>
      <c r="BA93" s="1491"/>
      <c r="BB93" s="1491"/>
      <c r="BC93" s="1492"/>
    </row>
    <row r="94" spans="1:55" x14ac:dyDescent="0.35">
      <c r="A94" s="1500">
        <v>521119</v>
      </c>
      <c r="B94" s="1501"/>
      <c r="C94" s="1490">
        <v>0</v>
      </c>
      <c r="D94" s="1491"/>
      <c r="E94" s="1491"/>
      <c r="F94" s="1492"/>
      <c r="G94" s="1490">
        <v>0</v>
      </c>
      <c r="H94" s="1491"/>
      <c r="I94" s="1492"/>
      <c r="J94" s="1490">
        <f t="shared" si="8"/>
        <v>0</v>
      </c>
      <c r="K94" s="1491"/>
      <c r="L94" s="1491"/>
      <c r="M94" s="1492"/>
      <c r="N94" s="40"/>
      <c r="O94" s="1500">
        <v>521119</v>
      </c>
      <c r="P94" s="1501"/>
      <c r="Q94" s="1490"/>
      <c r="R94" s="1491"/>
      <c r="S94" s="1491"/>
      <c r="T94" s="1492"/>
      <c r="U94" s="1490"/>
      <c r="V94" s="1491"/>
      <c r="W94" s="1492"/>
      <c r="X94" s="1490"/>
      <c r="Y94" s="1491"/>
      <c r="Z94" s="1491"/>
      <c r="AA94" s="1492"/>
      <c r="AC94" s="1500"/>
      <c r="AD94" s="1501"/>
      <c r="AE94" s="1490">
        <v>0</v>
      </c>
      <c r="AF94" s="1491"/>
      <c r="AG94" s="1491"/>
      <c r="AH94" s="1492"/>
      <c r="AI94" s="1490">
        <v>0</v>
      </c>
      <c r="AJ94" s="1491"/>
      <c r="AK94" s="1492"/>
      <c r="AL94" s="1490">
        <f t="shared" si="9"/>
        <v>0</v>
      </c>
      <c r="AM94" s="1491"/>
      <c r="AN94" s="1491"/>
      <c r="AO94" s="1492"/>
      <c r="AP94" s="40"/>
      <c r="AQ94" s="1500"/>
      <c r="AR94" s="1501"/>
      <c r="AS94" s="1490"/>
      <c r="AT94" s="1491"/>
      <c r="AU94" s="1491"/>
      <c r="AV94" s="1492"/>
      <c r="AW94" s="1490"/>
      <c r="AX94" s="1491"/>
      <c r="AY94" s="1492"/>
      <c r="AZ94" s="1490"/>
      <c r="BA94" s="1491"/>
      <c r="BB94" s="1491"/>
      <c r="BC94" s="1492"/>
    </row>
    <row r="95" spans="1:55" x14ac:dyDescent="0.35">
      <c r="A95" s="1498"/>
      <c r="B95" s="1499"/>
      <c r="C95" s="1490">
        <v>0</v>
      </c>
      <c r="D95" s="1491"/>
      <c r="E95" s="1491"/>
      <c r="F95" s="1492"/>
      <c r="G95" s="1490">
        <v>0</v>
      </c>
      <c r="H95" s="1491"/>
      <c r="I95" s="1492"/>
      <c r="J95" s="1490">
        <f t="shared" si="8"/>
        <v>0</v>
      </c>
      <c r="K95" s="1491"/>
      <c r="L95" s="1491"/>
      <c r="M95" s="1492"/>
      <c r="N95" s="40"/>
      <c r="O95" s="1498"/>
      <c r="P95" s="1499"/>
      <c r="Q95" s="1490">
        <v>0</v>
      </c>
      <c r="R95" s="1491"/>
      <c r="S95" s="1491"/>
      <c r="T95" s="1492"/>
      <c r="U95" s="1490">
        <v>0</v>
      </c>
      <c r="V95" s="1491"/>
      <c r="W95" s="1492"/>
      <c r="X95" s="1490">
        <f>Q95-U95</f>
        <v>0</v>
      </c>
      <c r="Y95" s="1491"/>
      <c r="Z95" s="1491"/>
      <c r="AA95" s="1492"/>
      <c r="AC95" s="1498"/>
      <c r="AD95" s="1499"/>
      <c r="AE95" s="1490">
        <v>0</v>
      </c>
      <c r="AF95" s="1491"/>
      <c r="AG95" s="1491"/>
      <c r="AH95" s="1492"/>
      <c r="AI95" s="1490">
        <v>0</v>
      </c>
      <c r="AJ95" s="1491"/>
      <c r="AK95" s="1492"/>
      <c r="AL95" s="1490">
        <f t="shared" si="9"/>
        <v>0</v>
      </c>
      <c r="AM95" s="1491"/>
      <c r="AN95" s="1491"/>
      <c r="AO95" s="1492"/>
      <c r="AP95" s="40"/>
      <c r="AQ95" s="1498"/>
      <c r="AR95" s="1499"/>
      <c r="AS95" s="1490">
        <v>0</v>
      </c>
      <c r="AT95" s="1491"/>
      <c r="AU95" s="1491"/>
      <c r="AV95" s="1492"/>
      <c r="AW95" s="1490">
        <v>0</v>
      </c>
      <c r="AX95" s="1491"/>
      <c r="AY95" s="1492"/>
      <c r="AZ95" s="1490">
        <f>AS95-AW95</f>
        <v>0</v>
      </c>
      <c r="BA95" s="1491"/>
      <c r="BB95" s="1491"/>
      <c r="BC95" s="1492"/>
    </row>
    <row r="96" spans="1:55" x14ac:dyDescent="0.35">
      <c r="A96" s="1493" t="s">
        <v>116</v>
      </c>
      <c r="B96" s="1494"/>
      <c r="C96" s="1495">
        <v>0</v>
      </c>
      <c r="D96" s="1496"/>
      <c r="E96" s="1496"/>
      <c r="F96" s="1497"/>
      <c r="G96" s="1495">
        <v>0</v>
      </c>
      <c r="H96" s="1496"/>
      <c r="I96" s="1497"/>
      <c r="J96" s="1495">
        <f t="shared" si="8"/>
        <v>0</v>
      </c>
      <c r="K96" s="1496"/>
      <c r="L96" s="1496"/>
      <c r="M96" s="1497"/>
      <c r="N96" s="41"/>
      <c r="O96" s="1493" t="s">
        <v>116</v>
      </c>
      <c r="P96" s="1494"/>
      <c r="Q96" s="1495">
        <v>0</v>
      </c>
      <c r="R96" s="1496"/>
      <c r="S96" s="1496"/>
      <c r="T96" s="1497"/>
      <c r="U96" s="1495">
        <v>0</v>
      </c>
      <c r="V96" s="1496"/>
      <c r="W96" s="1497"/>
      <c r="X96" s="1495">
        <f>Q96-U96</f>
        <v>0</v>
      </c>
      <c r="Y96" s="1496"/>
      <c r="Z96" s="1496"/>
      <c r="AA96" s="1497"/>
      <c r="AC96" s="1493" t="s">
        <v>116</v>
      </c>
      <c r="AD96" s="1494"/>
      <c r="AE96" s="1495">
        <v>0</v>
      </c>
      <c r="AF96" s="1496"/>
      <c r="AG96" s="1496"/>
      <c r="AH96" s="1497"/>
      <c r="AI96" s="1495">
        <v>0</v>
      </c>
      <c r="AJ96" s="1496"/>
      <c r="AK96" s="1497"/>
      <c r="AL96" s="1495">
        <f t="shared" si="9"/>
        <v>0</v>
      </c>
      <c r="AM96" s="1496"/>
      <c r="AN96" s="1496"/>
      <c r="AO96" s="1497"/>
      <c r="AP96" s="41"/>
      <c r="AQ96" s="1493" t="s">
        <v>116</v>
      </c>
      <c r="AR96" s="1494"/>
      <c r="AS96" s="1495">
        <v>0</v>
      </c>
      <c r="AT96" s="1496"/>
      <c r="AU96" s="1496"/>
      <c r="AV96" s="1497"/>
      <c r="AW96" s="1495">
        <v>0</v>
      </c>
      <c r="AX96" s="1496"/>
      <c r="AY96" s="1497"/>
      <c r="AZ96" s="1495">
        <f>AS96-AW96</f>
        <v>0</v>
      </c>
      <c r="BA96" s="1496"/>
      <c r="BB96" s="1496"/>
      <c r="BC96" s="1497"/>
    </row>
  </sheetData>
  <customSheetViews>
    <customSheetView guid="{EBF27D8D-2DD9-43E5-8C42-19F0B73014F5}" state="hidden" topLeftCell="A82">
      <selection activeCell="O3" sqref="O3"/>
      <pageMargins left="0.7" right="0.7" top="0.75" bottom="0.75" header="0.3" footer="0.3"/>
    </customSheetView>
  </customSheetViews>
  <mergeCells count="936">
    <mergeCell ref="A1:U1"/>
    <mergeCell ref="P2:AB2"/>
    <mergeCell ref="P3:AB3"/>
    <mergeCell ref="P4:AB4"/>
    <mergeCell ref="P5:AB5"/>
    <mergeCell ref="A2:M2"/>
    <mergeCell ref="A3:M3"/>
    <mergeCell ref="A4:M4"/>
    <mergeCell ref="A5:M5"/>
    <mergeCell ref="A6:M6"/>
    <mergeCell ref="A7:M7"/>
    <mergeCell ref="P6:AB6"/>
    <mergeCell ref="P7:AB7"/>
    <mergeCell ref="P8:AB8"/>
    <mergeCell ref="A14:M14"/>
    <mergeCell ref="A15:M15"/>
    <mergeCell ref="A17:T17"/>
    <mergeCell ref="A18:I18"/>
    <mergeCell ref="J19:K19"/>
    <mergeCell ref="L19:M19"/>
    <mergeCell ref="N19:Q19"/>
    <mergeCell ref="S19:X19"/>
    <mergeCell ref="A8:M8"/>
    <mergeCell ref="A9:M9"/>
    <mergeCell ref="A10:M10"/>
    <mergeCell ref="A11:M11"/>
    <mergeCell ref="A12:M12"/>
    <mergeCell ref="A13:M13"/>
    <mergeCell ref="P12:AB12"/>
    <mergeCell ref="P13:AB13"/>
    <mergeCell ref="P14:AB14"/>
    <mergeCell ref="P15:AB15"/>
    <mergeCell ref="P9:AB9"/>
    <mergeCell ref="P10:AB10"/>
    <mergeCell ref="P11:AB11"/>
    <mergeCell ref="J22:K22"/>
    <mergeCell ref="L22:M22"/>
    <mergeCell ref="N22:O22"/>
    <mergeCell ref="P22:Q22"/>
    <mergeCell ref="S22:U22"/>
    <mergeCell ref="V22:X22"/>
    <mergeCell ref="N20:O20"/>
    <mergeCell ref="P20:Q20"/>
    <mergeCell ref="S20:U20"/>
    <mergeCell ref="V20:X20"/>
    <mergeCell ref="J21:K21"/>
    <mergeCell ref="L21:M21"/>
    <mergeCell ref="N21:O21"/>
    <mergeCell ref="P21:Q21"/>
    <mergeCell ref="S21:U21"/>
    <mergeCell ref="V21:X21"/>
    <mergeCell ref="J24:K24"/>
    <mergeCell ref="L24:M24"/>
    <mergeCell ref="N24:O24"/>
    <mergeCell ref="P24:Q24"/>
    <mergeCell ref="S24:U24"/>
    <mergeCell ref="V24:X24"/>
    <mergeCell ref="J23:K23"/>
    <mergeCell ref="L23:M23"/>
    <mergeCell ref="N23:O23"/>
    <mergeCell ref="P23:Q23"/>
    <mergeCell ref="S23:U23"/>
    <mergeCell ref="V23:X23"/>
    <mergeCell ref="J26:K26"/>
    <mergeCell ref="L26:M26"/>
    <mergeCell ref="N26:O26"/>
    <mergeCell ref="P26:Q26"/>
    <mergeCell ref="S26:U26"/>
    <mergeCell ref="V26:X26"/>
    <mergeCell ref="J25:K25"/>
    <mergeCell ref="L25:M25"/>
    <mergeCell ref="N25:O25"/>
    <mergeCell ref="P25:Q25"/>
    <mergeCell ref="S25:U25"/>
    <mergeCell ref="V25:X25"/>
    <mergeCell ref="C30:F30"/>
    <mergeCell ref="C31:F31"/>
    <mergeCell ref="C32:F32"/>
    <mergeCell ref="C33:F33"/>
    <mergeCell ref="A47:B47"/>
    <mergeCell ref="A45:B45"/>
    <mergeCell ref="A46:B46"/>
    <mergeCell ref="A43:B43"/>
    <mergeCell ref="A44:B44"/>
    <mergeCell ref="A41:B41"/>
    <mergeCell ref="A42:B42"/>
    <mergeCell ref="A39:B39"/>
    <mergeCell ref="A40:B40"/>
    <mergeCell ref="A37:B37"/>
    <mergeCell ref="A38:B38"/>
    <mergeCell ref="A35:B35"/>
    <mergeCell ref="A36:B36"/>
    <mergeCell ref="A33:B33"/>
    <mergeCell ref="A34:B34"/>
    <mergeCell ref="A31:B31"/>
    <mergeCell ref="A32:B32"/>
    <mergeCell ref="A30:B30"/>
    <mergeCell ref="X31:AA31"/>
    <mergeCell ref="J43:M43"/>
    <mergeCell ref="J36:M36"/>
    <mergeCell ref="C44:F44"/>
    <mergeCell ref="C45:F45"/>
    <mergeCell ref="C46:F46"/>
    <mergeCell ref="C47:F47"/>
    <mergeCell ref="C48:F48"/>
    <mergeCell ref="C38:F38"/>
    <mergeCell ref="C39:F39"/>
    <mergeCell ref="C40:F40"/>
    <mergeCell ref="C41:F41"/>
    <mergeCell ref="C42:F42"/>
    <mergeCell ref="C43:F43"/>
    <mergeCell ref="G31:I31"/>
    <mergeCell ref="X48:AA48"/>
    <mergeCell ref="C35:F35"/>
    <mergeCell ref="C36:F36"/>
    <mergeCell ref="C37:F37"/>
    <mergeCell ref="G34:I34"/>
    <mergeCell ref="G35:I35"/>
    <mergeCell ref="G36:I36"/>
    <mergeCell ref="O43:P43"/>
    <mergeCell ref="O44:P44"/>
    <mergeCell ref="A29:AA29"/>
    <mergeCell ref="A28:M28"/>
    <mergeCell ref="O28:AA28"/>
    <mergeCell ref="X46:AA46"/>
    <mergeCell ref="X47:AA47"/>
    <mergeCell ref="O46:P46"/>
    <mergeCell ref="X44:AA44"/>
    <mergeCell ref="X45:AA45"/>
    <mergeCell ref="X42:AA42"/>
    <mergeCell ref="X43:AA43"/>
    <mergeCell ref="O42:P42"/>
    <mergeCell ref="X40:AA40"/>
    <mergeCell ref="X41:AA41"/>
    <mergeCell ref="X38:AA38"/>
    <mergeCell ref="X39:AA39"/>
    <mergeCell ref="O38:P38"/>
    <mergeCell ref="X36:AA36"/>
    <mergeCell ref="X37:AA37"/>
    <mergeCell ref="X34:AA34"/>
    <mergeCell ref="X35:AA35"/>
    <mergeCell ref="X32:AA32"/>
    <mergeCell ref="X33:AA33"/>
    <mergeCell ref="X30:AA30"/>
    <mergeCell ref="C34:F34"/>
    <mergeCell ref="AZ32:BC32"/>
    <mergeCell ref="AC31:AD31"/>
    <mergeCell ref="AE31:AH31"/>
    <mergeCell ref="AC30:AD30"/>
    <mergeCell ref="AE30:AH30"/>
    <mergeCell ref="AS30:AV30"/>
    <mergeCell ref="AI31:AK31"/>
    <mergeCell ref="AL31:AO31"/>
    <mergeCell ref="AI32:AK32"/>
    <mergeCell ref="AL32:AO32"/>
    <mergeCell ref="AI30:AK30"/>
    <mergeCell ref="AQ30:AR30"/>
    <mergeCell ref="AW30:AY30"/>
    <mergeCell ref="AZ30:BC30"/>
    <mergeCell ref="AQ31:AR31"/>
    <mergeCell ref="AS31:AV31"/>
    <mergeCell ref="AW31:AY31"/>
    <mergeCell ref="AZ31:BC31"/>
    <mergeCell ref="AQ32:AR32"/>
    <mergeCell ref="AW32:AY32"/>
    <mergeCell ref="AL30:AO30"/>
    <mergeCell ref="AC33:AD33"/>
    <mergeCell ref="AE33:AH33"/>
    <mergeCell ref="AI33:AK33"/>
    <mergeCell ref="AL33:AO33"/>
    <mergeCell ref="AS33:AV33"/>
    <mergeCell ref="AI34:AK34"/>
    <mergeCell ref="AC32:AD32"/>
    <mergeCell ref="AE32:AH32"/>
    <mergeCell ref="AS32:AV32"/>
    <mergeCell ref="AC35:AD35"/>
    <mergeCell ref="AE35:AH35"/>
    <mergeCell ref="AI35:AK35"/>
    <mergeCell ref="AC37:AD37"/>
    <mergeCell ref="AE37:AH37"/>
    <mergeCell ref="AE38:AH38"/>
    <mergeCell ref="AC34:AD34"/>
    <mergeCell ref="AE34:AH34"/>
    <mergeCell ref="AS34:AV34"/>
    <mergeCell ref="AL34:AO34"/>
    <mergeCell ref="AC36:AD36"/>
    <mergeCell ref="AE36:AH36"/>
    <mergeCell ref="AS36:AV36"/>
    <mergeCell ref="AL36:AO36"/>
    <mergeCell ref="AQ38:AR38"/>
    <mergeCell ref="AI36:AK36"/>
    <mergeCell ref="AI37:AK37"/>
    <mergeCell ref="AL38:AO38"/>
    <mergeCell ref="AI43:AK43"/>
    <mergeCell ref="AL43:AO43"/>
    <mergeCell ref="AI42:AK42"/>
    <mergeCell ref="AL37:AO37"/>
    <mergeCell ref="AI38:AK38"/>
    <mergeCell ref="AI39:AK39"/>
    <mergeCell ref="AL39:AO39"/>
    <mergeCell ref="AI40:AK40"/>
    <mergeCell ref="AL40:AO40"/>
    <mergeCell ref="AI41:AK41"/>
    <mergeCell ref="AL41:AO41"/>
    <mergeCell ref="AQ48:AR48"/>
    <mergeCell ref="AL48:AO48"/>
    <mergeCell ref="AI46:AK46"/>
    <mergeCell ref="AL46:AO46"/>
    <mergeCell ref="AS48:AV48"/>
    <mergeCell ref="AI47:AK47"/>
    <mergeCell ref="AL47:AO47"/>
    <mergeCell ref="AI48:AK48"/>
    <mergeCell ref="AI44:AK44"/>
    <mergeCell ref="AL44:AO44"/>
    <mergeCell ref="AI45:AK45"/>
    <mergeCell ref="AL45:AO45"/>
    <mergeCell ref="AQ45:AR45"/>
    <mergeCell ref="AS45:AV45"/>
    <mergeCell ref="G46:I46"/>
    <mergeCell ref="G47:I47"/>
    <mergeCell ref="G48:I48"/>
    <mergeCell ref="Q30:T30"/>
    <mergeCell ref="Q34:T34"/>
    <mergeCell ref="Q38:T38"/>
    <mergeCell ref="Q42:T42"/>
    <mergeCell ref="Q46:T46"/>
    <mergeCell ref="G38:I38"/>
    <mergeCell ref="G39:I39"/>
    <mergeCell ref="G40:I40"/>
    <mergeCell ref="G41:I41"/>
    <mergeCell ref="G42:I42"/>
    <mergeCell ref="G43:I43"/>
    <mergeCell ref="O47:P47"/>
    <mergeCell ref="O45:P45"/>
    <mergeCell ref="O31:P31"/>
    <mergeCell ref="O32:P32"/>
    <mergeCell ref="O33:P33"/>
    <mergeCell ref="J45:M45"/>
    <mergeCell ref="J46:M46"/>
    <mergeCell ref="J47:M47"/>
    <mergeCell ref="J48:M48"/>
    <mergeCell ref="O30:P30"/>
    <mergeCell ref="O39:P39"/>
    <mergeCell ref="O40:P40"/>
    <mergeCell ref="O41:P41"/>
    <mergeCell ref="J44:M44"/>
    <mergeCell ref="O34:P34"/>
    <mergeCell ref="O35:P35"/>
    <mergeCell ref="O36:P36"/>
    <mergeCell ref="O37:P37"/>
    <mergeCell ref="J37:M37"/>
    <mergeCell ref="J38:M38"/>
    <mergeCell ref="J39:M39"/>
    <mergeCell ref="J40:M40"/>
    <mergeCell ref="J41:M41"/>
    <mergeCell ref="J42:M42"/>
    <mergeCell ref="J34:M34"/>
    <mergeCell ref="G44:I44"/>
    <mergeCell ref="G45:I45"/>
    <mergeCell ref="J30:M30"/>
    <mergeCell ref="J31:M31"/>
    <mergeCell ref="J32:M32"/>
    <mergeCell ref="J33:M33"/>
    <mergeCell ref="J35:M35"/>
    <mergeCell ref="G32:I32"/>
    <mergeCell ref="G33:I33"/>
    <mergeCell ref="G37:I37"/>
    <mergeCell ref="G30:I30"/>
    <mergeCell ref="U30:W30"/>
    <mergeCell ref="Q31:T31"/>
    <mergeCell ref="U31:W31"/>
    <mergeCell ref="Q32:T32"/>
    <mergeCell ref="Q36:T36"/>
    <mergeCell ref="U36:W36"/>
    <mergeCell ref="Q37:T37"/>
    <mergeCell ref="U37:W37"/>
    <mergeCell ref="AC45:AD45"/>
    <mergeCell ref="AC38:AD38"/>
    <mergeCell ref="U38:W38"/>
    <mergeCell ref="Q39:T39"/>
    <mergeCell ref="U39:W39"/>
    <mergeCell ref="Q40:T40"/>
    <mergeCell ref="U40:W40"/>
    <mergeCell ref="Q41:T41"/>
    <mergeCell ref="U41:W41"/>
    <mergeCell ref="U32:W32"/>
    <mergeCell ref="Q33:T33"/>
    <mergeCell ref="U33:W33"/>
    <mergeCell ref="U34:W34"/>
    <mergeCell ref="Q35:T35"/>
    <mergeCell ref="U35:W35"/>
    <mergeCell ref="AC41:AD41"/>
    <mergeCell ref="AE48:AH48"/>
    <mergeCell ref="AE41:AH41"/>
    <mergeCell ref="AC40:AD40"/>
    <mergeCell ref="AE40:AH40"/>
    <mergeCell ref="U46:W46"/>
    <mergeCell ref="Q47:T47"/>
    <mergeCell ref="U47:W47"/>
    <mergeCell ref="AE45:AH45"/>
    <mergeCell ref="AC44:AD44"/>
    <mergeCell ref="AC47:AD47"/>
    <mergeCell ref="AE47:AH47"/>
    <mergeCell ref="AC46:AD46"/>
    <mergeCell ref="AE46:AH46"/>
    <mergeCell ref="AC48:AD48"/>
    <mergeCell ref="Q45:T45"/>
    <mergeCell ref="U45:W45"/>
    <mergeCell ref="Q44:T44"/>
    <mergeCell ref="U44:W44"/>
    <mergeCell ref="AE44:AH44"/>
    <mergeCell ref="AC39:AD39"/>
    <mergeCell ref="AE39:AH39"/>
    <mergeCell ref="AC43:AD43"/>
    <mergeCell ref="AE43:AH43"/>
    <mergeCell ref="AC42:AD42"/>
    <mergeCell ref="AE42:AH42"/>
    <mergeCell ref="U42:W42"/>
    <mergeCell ref="Q43:T43"/>
    <mergeCell ref="U43:W43"/>
    <mergeCell ref="AW33:AY33"/>
    <mergeCell ref="AZ33:BC33"/>
    <mergeCell ref="AQ34:AR34"/>
    <mergeCell ref="AW34:AY34"/>
    <mergeCell ref="AZ34:BC34"/>
    <mergeCell ref="AS41:AV41"/>
    <mergeCell ref="AW41:AY41"/>
    <mergeCell ref="AZ41:BC41"/>
    <mergeCell ref="AS39:AV39"/>
    <mergeCell ref="AS40:AV40"/>
    <mergeCell ref="AQ39:AR39"/>
    <mergeCell ref="AZ37:BC37"/>
    <mergeCell ref="AZ38:BC38"/>
    <mergeCell ref="AZ35:BC35"/>
    <mergeCell ref="AZ36:BC36"/>
    <mergeCell ref="AZ39:BC39"/>
    <mergeCell ref="AZ40:BC40"/>
    <mergeCell ref="AQ33:AR33"/>
    <mergeCell ref="AW46:AY46"/>
    <mergeCell ref="AS44:AV44"/>
    <mergeCell ref="AS42:AV42"/>
    <mergeCell ref="AL35:AO35"/>
    <mergeCell ref="AQ37:AR37"/>
    <mergeCell ref="AS37:AV37"/>
    <mergeCell ref="AW37:AY37"/>
    <mergeCell ref="AW38:AY38"/>
    <mergeCell ref="AQ35:AR35"/>
    <mergeCell ref="AS35:AV35"/>
    <mergeCell ref="AW35:AY35"/>
    <mergeCell ref="AQ36:AR36"/>
    <mergeCell ref="AW36:AY36"/>
    <mergeCell ref="AS38:AV38"/>
    <mergeCell ref="AW39:AY39"/>
    <mergeCell ref="AQ40:AR40"/>
    <mergeCell ref="AW40:AY40"/>
    <mergeCell ref="AQ41:AR41"/>
    <mergeCell ref="AW45:AY45"/>
    <mergeCell ref="AS46:AV46"/>
    <mergeCell ref="AQ46:AR46"/>
    <mergeCell ref="AW42:AY42"/>
    <mergeCell ref="AL42:AO42"/>
    <mergeCell ref="AZ42:BC42"/>
    <mergeCell ref="AQ43:AR43"/>
    <mergeCell ref="AS43:AV43"/>
    <mergeCell ref="AW43:AY43"/>
    <mergeCell ref="AZ43:BC43"/>
    <mergeCell ref="J50:M50"/>
    <mergeCell ref="O50:P50"/>
    <mergeCell ref="Q50:T50"/>
    <mergeCell ref="U50:W50"/>
    <mergeCell ref="X50:AA50"/>
    <mergeCell ref="AS49:AV49"/>
    <mergeCell ref="AW49:AY49"/>
    <mergeCell ref="AZ49:BC49"/>
    <mergeCell ref="AC50:AD50"/>
    <mergeCell ref="AE50:AH50"/>
    <mergeCell ref="AI50:AK50"/>
    <mergeCell ref="AL50:AO50"/>
    <mergeCell ref="AQ50:AR50"/>
    <mergeCell ref="AS50:AV50"/>
    <mergeCell ref="AW50:AY50"/>
    <mergeCell ref="AZ50:BC50"/>
    <mergeCell ref="Q48:T48"/>
    <mergeCell ref="U48:W48"/>
    <mergeCell ref="AC49:AD49"/>
    <mergeCell ref="J51:M51"/>
    <mergeCell ref="AC29:BC29"/>
    <mergeCell ref="AC28:AO28"/>
    <mergeCell ref="AQ28:BC28"/>
    <mergeCell ref="C49:F49"/>
    <mergeCell ref="G49:I49"/>
    <mergeCell ref="J49:M49"/>
    <mergeCell ref="O48:P48"/>
    <mergeCell ref="O49:P49"/>
    <mergeCell ref="Q49:T49"/>
    <mergeCell ref="U49:W49"/>
    <mergeCell ref="AZ46:BC46"/>
    <mergeCell ref="AQ47:AR47"/>
    <mergeCell ref="AS47:AV47"/>
    <mergeCell ref="AW47:AY47"/>
    <mergeCell ref="AZ47:BC47"/>
    <mergeCell ref="AW48:AY48"/>
    <mergeCell ref="AZ48:BC48"/>
    <mergeCell ref="AQ44:AR44"/>
    <mergeCell ref="AW44:AY44"/>
    <mergeCell ref="AZ44:BC44"/>
    <mergeCell ref="X49:AA49"/>
    <mergeCell ref="AZ45:BC45"/>
    <mergeCell ref="AQ42:AR42"/>
    <mergeCell ref="J54:M54"/>
    <mergeCell ref="C55:F55"/>
    <mergeCell ref="G55:I55"/>
    <mergeCell ref="J55:M55"/>
    <mergeCell ref="C52:F52"/>
    <mergeCell ref="G52:I52"/>
    <mergeCell ref="J52:M52"/>
    <mergeCell ref="C53:F53"/>
    <mergeCell ref="G53:I53"/>
    <mergeCell ref="J53:M53"/>
    <mergeCell ref="A48:B48"/>
    <mergeCell ref="A49:B49"/>
    <mergeCell ref="A50:B50"/>
    <mergeCell ref="A51:B51"/>
    <mergeCell ref="A52:B52"/>
    <mergeCell ref="A53:B53"/>
    <mergeCell ref="A54:B54"/>
    <mergeCell ref="C60:F60"/>
    <mergeCell ref="G60:I60"/>
    <mergeCell ref="C58:F58"/>
    <mergeCell ref="G58:I58"/>
    <mergeCell ref="C59:F59"/>
    <mergeCell ref="G59:I59"/>
    <mergeCell ref="C56:F56"/>
    <mergeCell ref="G56:I56"/>
    <mergeCell ref="C57:F57"/>
    <mergeCell ref="G57:I57"/>
    <mergeCell ref="C54:F54"/>
    <mergeCell ref="G54:I54"/>
    <mergeCell ref="C50:F50"/>
    <mergeCell ref="G50:I50"/>
    <mergeCell ref="C51:F51"/>
    <mergeCell ref="G51:I51"/>
    <mergeCell ref="A61:B61"/>
    <mergeCell ref="A62:B62"/>
    <mergeCell ref="A63:B63"/>
    <mergeCell ref="C63:F63"/>
    <mergeCell ref="G63:I63"/>
    <mergeCell ref="J63:M63"/>
    <mergeCell ref="A55:B55"/>
    <mergeCell ref="A56:B56"/>
    <mergeCell ref="A57:B57"/>
    <mergeCell ref="A58:B58"/>
    <mergeCell ref="A59:B59"/>
    <mergeCell ref="A60:B60"/>
    <mergeCell ref="C62:F62"/>
    <mergeCell ref="G62:I62"/>
    <mergeCell ref="J62:M62"/>
    <mergeCell ref="J60:M60"/>
    <mergeCell ref="C61:F61"/>
    <mergeCell ref="G61:I61"/>
    <mergeCell ref="J61:M61"/>
    <mergeCell ref="J58:M58"/>
    <mergeCell ref="J59:M59"/>
    <mergeCell ref="J56:M56"/>
    <mergeCell ref="J57:M57"/>
    <mergeCell ref="O51:P51"/>
    <mergeCell ref="Q51:T51"/>
    <mergeCell ref="U51:W51"/>
    <mergeCell ref="X51:AA51"/>
    <mergeCell ref="U54:W54"/>
    <mergeCell ref="X54:AA54"/>
    <mergeCell ref="O55:P55"/>
    <mergeCell ref="Q55:T55"/>
    <mergeCell ref="U55:W55"/>
    <mergeCell ref="X55:AA55"/>
    <mergeCell ref="O52:P52"/>
    <mergeCell ref="Q52:T52"/>
    <mergeCell ref="U52:W52"/>
    <mergeCell ref="X52:AA52"/>
    <mergeCell ref="O53:P53"/>
    <mergeCell ref="Q53:T53"/>
    <mergeCell ref="U53:W53"/>
    <mergeCell ref="X53:AA53"/>
    <mergeCell ref="O56:P56"/>
    <mergeCell ref="Q56:T56"/>
    <mergeCell ref="U56:W56"/>
    <mergeCell ref="X56:AA56"/>
    <mergeCell ref="O57:P57"/>
    <mergeCell ref="AC51:AD51"/>
    <mergeCell ref="AE51:AH51"/>
    <mergeCell ref="O63:P63"/>
    <mergeCell ref="Q63:T63"/>
    <mergeCell ref="U63:W63"/>
    <mergeCell ref="X63:AA63"/>
    <mergeCell ref="O60:P60"/>
    <mergeCell ref="Q60:T60"/>
    <mergeCell ref="U60:W60"/>
    <mergeCell ref="X60:AA60"/>
    <mergeCell ref="O61:P61"/>
    <mergeCell ref="Q61:T61"/>
    <mergeCell ref="U61:W61"/>
    <mergeCell ref="X61:AA61"/>
    <mergeCell ref="Q57:T57"/>
    <mergeCell ref="U57:W57"/>
    <mergeCell ref="X57:AA57"/>
    <mergeCell ref="O54:P54"/>
    <mergeCell ref="Q54:T54"/>
    <mergeCell ref="O62:P62"/>
    <mergeCell ref="Q62:T62"/>
    <mergeCell ref="U62:W62"/>
    <mergeCell ref="X62:AA62"/>
    <mergeCell ref="O58:P58"/>
    <mergeCell ref="Q58:T58"/>
    <mergeCell ref="U58:W58"/>
    <mergeCell ref="X58:AA58"/>
    <mergeCell ref="O59:P59"/>
    <mergeCell ref="Q59:T59"/>
    <mergeCell ref="U59:W59"/>
    <mergeCell ref="X59:AA59"/>
    <mergeCell ref="AE49:AH49"/>
    <mergeCell ref="AI49:AK49"/>
    <mergeCell ref="AL49:AO49"/>
    <mergeCell ref="AQ49:AR49"/>
    <mergeCell ref="AI51:AK51"/>
    <mergeCell ref="AL51:AO51"/>
    <mergeCell ref="AQ51:AR51"/>
    <mergeCell ref="AS51:AV51"/>
    <mergeCell ref="AW51:AY51"/>
    <mergeCell ref="AZ51:BC51"/>
    <mergeCell ref="AW52:AY52"/>
    <mergeCell ref="AZ52:BC52"/>
    <mergeCell ref="AC53:AD53"/>
    <mergeCell ref="AE53:AH53"/>
    <mergeCell ref="AI53:AK53"/>
    <mergeCell ref="AL53:AO53"/>
    <mergeCell ref="AQ53:AR53"/>
    <mergeCell ref="AS53:AV53"/>
    <mergeCell ref="AW53:AY53"/>
    <mergeCell ref="AZ53:BC53"/>
    <mergeCell ref="AC52:AD52"/>
    <mergeCell ref="AE52:AH52"/>
    <mergeCell ref="AI52:AK52"/>
    <mergeCell ref="AL52:AO52"/>
    <mergeCell ref="AQ52:AR52"/>
    <mergeCell ref="AS52:AV52"/>
    <mergeCell ref="AW54:AY54"/>
    <mergeCell ref="AZ54:BC54"/>
    <mergeCell ref="AC55:AD55"/>
    <mergeCell ref="AE55:AH55"/>
    <mergeCell ref="AI55:AK55"/>
    <mergeCell ref="AL55:AO55"/>
    <mergeCell ref="AQ55:AR55"/>
    <mergeCell ref="AS55:AV55"/>
    <mergeCell ref="AW55:AY55"/>
    <mergeCell ref="AZ55:BC55"/>
    <mergeCell ref="AC54:AD54"/>
    <mergeCell ref="AE54:AH54"/>
    <mergeCell ref="AI54:AK54"/>
    <mergeCell ref="AL54:AO54"/>
    <mergeCell ref="AQ54:AR54"/>
    <mergeCell ref="AS54:AV54"/>
    <mergeCell ref="AW56:AY56"/>
    <mergeCell ref="AZ56:BC56"/>
    <mergeCell ref="AC57:AD57"/>
    <mergeCell ref="AE57:AH57"/>
    <mergeCell ref="AI57:AK57"/>
    <mergeCell ref="AL57:AO57"/>
    <mergeCell ref="AQ57:AR57"/>
    <mergeCell ref="AS57:AV57"/>
    <mergeCell ref="AW57:AY57"/>
    <mergeCell ref="AZ57:BC57"/>
    <mergeCell ref="AC56:AD56"/>
    <mergeCell ref="AE56:AH56"/>
    <mergeCell ref="AI56:AK56"/>
    <mergeCell ref="AL56:AO56"/>
    <mergeCell ref="AQ56:AR56"/>
    <mergeCell ref="AS56:AV56"/>
    <mergeCell ref="AW58:AY58"/>
    <mergeCell ref="AZ58:BC58"/>
    <mergeCell ref="AC59:AD59"/>
    <mergeCell ref="AE59:AH59"/>
    <mergeCell ref="AI59:AK59"/>
    <mergeCell ref="AL59:AO59"/>
    <mergeCell ref="AQ59:AR59"/>
    <mergeCell ref="AS59:AV59"/>
    <mergeCell ref="AW59:AY59"/>
    <mergeCell ref="AZ59:BC59"/>
    <mergeCell ref="AC58:AD58"/>
    <mergeCell ref="AE58:AH58"/>
    <mergeCell ref="AI58:AK58"/>
    <mergeCell ref="AL58:AO58"/>
    <mergeCell ref="AQ58:AR58"/>
    <mergeCell ref="AS58:AV58"/>
    <mergeCell ref="AW60:AY60"/>
    <mergeCell ref="AZ60:BC60"/>
    <mergeCell ref="AC61:AD61"/>
    <mergeCell ref="AE61:AH61"/>
    <mergeCell ref="AI61:AK61"/>
    <mergeCell ref="AL61:AO61"/>
    <mergeCell ref="AQ61:AR61"/>
    <mergeCell ref="AS61:AV61"/>
    <mergeCell ref="AW61:AY61"/>
    <mergeCell ref="AZ61:BC61"/>
    <mergeCell ref="AC60:AD60"/>
    <mergeCell ref="AE60:AH60"/>
    <mergeCell ref="AI60:AK60"/>
    <mergeCell ref="AL60:AO60"/>
    <mergeCell ref="AQ60:AR60"/>
    <mergeCell ref="AS60:AV60"/>
    <mergeCell ref="AW62:AY62"/>
    <mergeCell ref="AZ62:BC62"/>
    <mergeCell ref="AC63:AD63"/>
    <mergeCell ref="AE63:AH63"/>
    <mergeCell ref="AI63:AK63"/>
    <mergeCell ref="AL63:AO63"/>
    <mergeCell ref="AQ63:AR63"/>
    <mergeCell ref="AS63:AV63"/>
    <mergeCell ref="AW63:AY63"/>
    <mergeCell ref="AZ63:BC63"/>
    <mergeCell ref="AC62:AD62"/>
    <mergeCell ref="AE62:AH62"/>
    <mergeCell ref="AI62:AK62"/>
    <mergeCell ref="AL62:AO62"/>
    <mergeCell ref="AQ62:AR62"/>
    <mergeCell ref="AS62:AV62"/>
    <mergeCell ref="A65:M65"/>
    <mergeCell ref="O65:AA65"/>
    <mergeCell ref="A66:AA66"/>
    <mergeCell ref="A67:B67"/>
    <mergeCell ref="C67:F67"/>
    <mergeCell ref="G67:I67"/>
    <mergeCell ref="J67:M67"/>
    <mergeCell ref="O67:P67"/>
    <mergeCell ref="Q67:T67"/>
    <mergeCell ref="U67:W67"/>
    <mergeCell ref="X67:AA67"/>
    <mergeCell ref="A68:B68"/>
    <mergeCell ref="C68:F68"/>
    <mergeCell ref="G68:I68"/>
    <mergeCell ref="J68:M68"/>
    <mergeCell ref="O68:P68"/>
    <mergeCell ref="Q68:T68"/>
    <mergeCell ref="U68:W68"/>
    <mergeCell ref="X68:AA68"/>
    <mergeCell ref="U69:W69"/>
    <mergeCell ref="X69:AA69"/>
    <mergeCell ref="A70:B70"/>
    <mergeCell ref="C70:F70"/>
    <mergeCell ref="G70:I70"/>
    <mergeCell ref="J70:M70"/>
    <mergeCell ref="O70:P70"/>
    <mergeCell ref="Q70:T70"/>
    <mergeCell ref="U70:W70"/>
    <mergeCell ref="X70:AA70"/>
    <mergeCell ref="A69:B69"/>
    <mergeCell ref="C69:F69"/>
    <mergeCell ref="G69:I69"/>
    <mergeCell ref="J69:M69"/>
    <mergeCell ref="O69:P69"/>
    <mergeCell ref="Q69:T69"/>
    <mergeCell ref="U71:W71"/>
    <mergeCell ref="X71:AA71"/>
    <mergeCell ref="A72:B72"/>
    <mergeCell ref="C72:F72"/>
    <mergeCell ref="G72:I72"/>
    <mergeCell ref="J72:M72"/>
    <mergeCell ref="O72:P72"/>
    <mergeCell ref="Q72:T72"/>
    <mergeCell ref="U72:W72"/>
    <mergeCell ref="X72:AA72"/>
    <mergeCell ref="A71:B71"/>
    <mergeCell ref="C71:F71"/>
    <mergeCell ref="G71:I71"/>
    <mergeCell ref="J71:M71"/>
    <mergeCell ref="O71:P71"/>
    <mergeCell ref="Q71:T71"/>
    <mergeCell ref="AC65:AO65"/>
    <mergeCell ref="AQ65:BC65"/>
    <mergeCell ref="AC66:BC66"/>
    <mergeCell ref="AC67:AD67"/>
    <mergeCell ref="AE67:AH67"/>
    <mergeCell ref="AI67:AK67"/>
    <mergeCell ref="AL67:AO67"/>
    <mergeCell ref="AQ67:AR67"/>
    <mergeCell ref="AS67:AV67"/>
    <mergeCell ref="AW67:AY67"/>
    <mergeCell ref="AZ67:BC67"/>
    <mergeCell ref="AC68:AD68"/>
    <mergeCell ref="AE68:AH68"/>
    <mergeCell ref="AI68:AK68"/>
    <mergeCell ref="AL68:AO68"/>
    <mergeCell ref="AQ68:AR68"/>
    <mergeCell ref="AS68:AV68"/>
    <mergeCell ref="AW68:AY68"/>
    <mergeCell ref="AZ68:BC68"/>
    <mergeCell ref="AW69:AY69"/>
    <mergeCell ref="AZ69:BC69"/>
    <mergeCell ref="AC70:AD70"/>
    <mergeCell ref="AE70:AH70"/>
    <mergeCell ref="AI70:AK70"/>
    <mergeCell ref="AL70:AO70"/>
    <mergeCell ref="AQ70:AR70"/>
    <mergeCell ref="AS70:AV70"/>
    <mergeCell ref="AW70:AY70"/>
    <mergeCell ref="AZ70:BC70"/>
    <mergeCell ref="AC69:AD69"/>
    <mergeCell ref="AE69:AH69"/>
    <mergeCell ref="AI69:AK69"/>
    <mergeCell ref="AL69:AO69"/>
    <mergeCell ref="AQ69:AR69"/>
    <mergeCell ref="AS69:AV69"/>
    <mergeCell ref="AW71:AY71"/>
    <mergeCell ref="AZ71:BC71"/>
    <mergeCell ref="AC72:AD72"/>
    <mergeCell ref="AE72:AH72"/>
    <mergeCell ref="AI72:AK72"/>
    <mergeCell ref="AL72:AO72"/>
    <mergeCell ref="AQ72:AR72"/>
    <mergeCell ref="AS72:AV72"/>
    <mergeCell ref="AW72:AY72"/>
    <mergeCell ref="AZ72:BC72"/>
    <mergeCell ref="AC71:AD71"/>
    <mergeCell ref="AE71:AH71"/>
    <mergeCell ref="AI71:AK71"/>
    <mergeCell ref="AL71:AO71"/>
    <mergeCell ref="AQ71:AR71"/>
    <mergeCell ref="AS71:AV71"/>
    <mergeCell ref="A75:M75"/>
    <mergeCell ref="O75:AA75"/>
    <mergeCell ref="A76:AA76"/>
    <mergeCell ref="A77:B77"/>
    <mergeCell ref="C77:F77"/>
    <mergeCell ref="G77:I77"/>
    <mergeCell ref="J77:M77"/>
    <mergeCell ref="O77:P77"/>
    <mergeCell ref="Q77:T77"/>
    <mergeCell ref="U77:W77"/>
    <mergeCell ref="X77:AA77"/>
    <mergeCell ref="A78:B78"/>
    <mergeCell ref="C78:F78"/>
    <mergeCell ref="G78:I78"/>
    <mergeCell ref="J78:M78"/>
    <mergeCell ref="O78:P78"/>
    <mergeCell ref="Q78:T78"/>
    <mergeCell ref="U78:W78"/>
    <mergeCell ref="X78:AA78"/>
    <mergeCell ref="J82:M82"/>
    <mergeCell ref="O82:P82"/>
    <mergeCell ref="Q82:T82"/>
    <mergeCell ref="U79:W79"/>
    <mergeCell ref="X79:AA79"/>
    <mergeCell ref="A81:B81"/>
    <mergeCell ref="C81:F81"/>
    <mergeCell ref="G81:I81"/>
    <mergeCell ref="J81:M81"/>
    <mergeCell ref="O81:P81"/>
    <mergeCell ref="Q81:T81"/>
    <mergeCell ref="U81:W81"/>
    <mergeCell ref="X81:AA81"/>
    <mergeCell ref="A79:B79"/>
    <mergeCell ref="C79:F79"/>
    <mergeCell ref="G79:I79"/>
    <mergeCell ref="J79:M79"/>
    <mergeCell ref="O79:P79"/>
    <mergeCell ref="Q79:T79"/>
    <mergeCell ref="Q80:T80"/>
    <mergeCell ref="U80:W80"/>
    <mergeCell ref="X80:AA80"/>
    <mergeCell ref="A86:M86"/>
    <mergeCell ref="O86:AA86"/>
    <mergeCell ref="A87:AA87"/>
    <mergeCell ref="A80:B80"/>
    <mergeCell ref="C80:F80"/>
    <mergeCell ref="G80:I80"/>
    <mergeCell ref="J80:M80"/>
    <mergeCell ref="O80:P80"/>
    <mergeCell ref="U82:W82"/>
    <mergeCell ref="X82:AA82"/>
    <mergeCell ref="A83:B83"/>
    <mergeCell ref="C83:F83"/>
    <mergeCell ref="G83:I83"/>
    <mergeCell ref="J83:M83"/>
    <mergeCell ref="O83:P83"/>
    <mergeCell ref="Q83:T83"/>
    <mergeCell ref="U83:W83"/>
    <mergeCell ref="X83:AA83"/>
    <mergeCell ref="A82:B82"/>
    <mergeCell ref="C82:F82"/>
    <mergeCell ref="G82:I82"/>
    <mergeCell ref="A89:B89"/>
    <mergeCell ref="C89:F89"/>
    <mergeCell ref="G89:I89"/>
    <mergeCell ref="J89:M89"/>
    <mergeCell ref="O89:P89"/>
    <mergeCell ref="Q89:T89"/>
    <mergeCell ref="U89:W89"/>
    <mergeCell ref="X89:AA89"/>
    <mergeCell ref="A88:B88"/>
    <mergeCell ref="C88:F88"/>
    <mergeCell ref="G88:I88"/>
    <mergeCell ref="J88:M88"/>
    <mergeCell ref="O88:P88"/>
    <mergeCell ref="Q88:T88"/>
    <mergeCell ref="U93:W93"/>
    <mergeCell ref="X93:AA93"/>
    <mergeCell ref="O91:P91"/>
    <mergeCell ref="Q91:T91"/>
    <mergeCell ref="U91:W91"/>
    <mergeCell ref="X91:AA91"/>
    <mergeCell ref="A92:B92"/>
    <mergeCell ref="C92:F92"/>
    <mergeCell ref="G92:I92"/>
    <mergeCell ref="J92:M92"/>
    <mergeCell ref="O90:P90"/>
    <mergeCell ref="Q90:T90"/>
    <mergeCell ref="O92:P92"/>
    <mergeCell ref="Q92:T92"/>
    <mergeCell ref="U92:W92"/>
    <mergeCell ref="X92:AA92"/>
    <mergeCell ref="A94:B94"/>
    <mergeCell ref="C94:F94"/>
    <mergeCell ref="G94:I94"/>
    <mergeCell ref="J94:M94"/>
    <mergeCell ref="O94:P94"/>
    <mergeCell ref="Q94:T94"/>
    <mergeCell ref="U94:W94"/>
    <mergeCell ref="X94:AA94"/>
    <mergeCell ref="A93:B93"/>
    <mergeCell ref="C93:F93"/>
    <mergeCell ref="G93:I93"/>
    <mergeCell ref="J93:M93"/>
    <mergeCell ref="O93:P93"/>
    <mergeCell ref="Q93:T93"/>
    <mergeCell ref="U96:W96"/>
    <mergeCell ref="X96:AA96"/>
    <mergeCell ref="A90:B90"/>
    <mergeCell ref="C90:F90"/>
    <mergeCell ref="G90:I90"/>
    <mergeCell ref="J90:M90"/>
    <mergeCell ref="A91:B91"/>
    <mergeCell ref="C91:F91"/>
    <mergeCell ref="G91:I91"/>
    <mergeCell ref="J91:M91"/>
    <mergeCell ref="A96:B96"/>
    <mergeCell ref="C96:F96"/>
    <mergeCell ref="G96:I96"/>
    <mergeCell ref="J96:M96"/>
    <mergeCell ref="O96:P96"/>
    <mergeCell ref="Q96:T96"/>
    <mergeCell ref="A95:B95"/>
    <mergeCell ref="C95:F95"/>
    <mergeCell ref="G95:I95"/>
    <mergeCell ref="J95:M95"/>
    <mergeCell ref="O95:P95"/>
    <mergeCell ref="Q95:T95"/>
    <mergeCell ref="U95:W95"/>
    <mergeCell ref="X95:AA95"/>
    <mergeCell ref="AC86:AO86"/>
    <mergeCell ref="AQ86:BC86"/>
    <mergeCell ref="AC87:BC87"/>
    <mergeCell ref="AC88:AD88"/>
    <mergeCell ref="AE88:AH88"/>
    <mergeCell ref="AI88:AK88"/>
    <mergeCell ref="AL88:AO88"/>
    <mergeCell ref="AQ88:AR88"/>
    <mergeCell ref="U90:W90"/>
    <mergeCell ref="X90:AA90"/>
    <mergeCell ref="U88:W88"/>
    <mergeCell ref="X88:AA88"/>
    <mergeCell ref="AS88:AV88"/>
    <mergeCell ref="AW88:AY88"/>
    <mergeCell ref="AZ88:BC88"/>
    <mergeCell ref="AC89:AD89"/>
    <mergeCell ref="AE89:AH89"/>
    <mergeCell ref="AI89:AK89"/>
    <mergeCell ref="AL89:AO89"/>
    <mergeCell ref="AQ89:AR89"/>
    <mergeCell ref="AS89:AV89"/>
    <mergeCell ref="AW89:AY89"/>
    <mergeCell ref="AZ89:BC89"/>
    <mergeCell ref="AC90:AD90"/>
    <mergeCell ref="AE90:AH90"/>
    <mergeCell ref="AI90:AK90"/>
    <mergeCell ref="AL90:AO90"/>
    <mergeCell ref="AQ90:AR90"/>
    <mergeCell ref="AS90:AV90"/>
    <mergeCell ref="AW90:AY90"/>
    <mergeCell ref="AZ90:BC90"/>
    <mergeCell ref="AW91:AY91"/>
    <mergeCell ref="AZ91:BC91"/>
    <mergeCell ref="AC92:AD92"/>
    <mergeCell ref="AE92:AH92"/>
    <mergeCell ref="AI92:AK92"/>
    <mergeCell ref="AL92:AO92"/>
    <mergeCell ref="AQ92:AR92"/>
    <mergeCell ref="AS92:AV92"/>
    <mergeCell ref="AW92:AY92"/>
    <mergeCell ref="AZ92:BC92"/>
    <mergeCell ref="AC91:AD91"/>
    <mergeCell ref="AE91:AH91"/>
    <mergeCell ref="AI91:AK91"/>
    <mergeCell ref="AL91:AO91"/>
    <mergeCell ref="AQ91:AR91"/>
    <mergeCell ref="AS91:AV91"/>
    <mergeCell ref="AW93:AY93"/>
    <mergeCell ref="AZ93:BC93"/>
    <mergeCell ref="AC94:AD94"/>
    <mergeCell ref="AE94:AH94"/>
    <mergeCell ref="AI94:AK94"/>
    <mergeCell ref="AL94:AO94"/>
    <mergeCell ref="AQ94:AR94"/>
    <mergeCell ref="AS94:AV94"/>
    <mergeCell ref="AW94:AY94"/>
    <mergeCell ref="AZ94:BC94"/>
    <mergeCell ref="AC93:AD93"/>
    <mergeCell ref="AE93:AH93"/>
    <mergeCell ref="AI93:AK93"/>
    <mergeCell ref="AL93:AO93"/>
    <mergeCell ref="AQ93:AR93"/>
    <mergeCell ref="AS93:AV93"/>
    <mergeCell ref="AW95:AY95"/>
    <mergeCell ref="AZ95:BC95"/>
    <mergeCell ref="AC96:AD96"/>
    <mergeCell ref="AE96:AH96"/>
    <mergeCell ref="AI96:AK96"/>
    <mergeCell ref="AL96:AO96"/>
    <mergeCell ref="AQ96:AR96"/>
    <mergeCell ref="AS96:AV96"/>
    <mergeCell ref="AW96:AY96"/>
    <mergeCell ref="AZ96:BC96"/>
    <mergeCell ref="AC95:AD95"/>
    <mergeCell ref="AE95:AH95"/>
    <mergeCell ref="AI95:AK95"/>
    <mergeCell ref="AL95:AO95"/>
    <mergeCell ref="AQ95:AR95"/>
    <mergeCell ref="AS95:AV95"/>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8"/>
  <sheetViews>
    <sheetView view="pageBreakPreview" topLeftCell="A22" zoomScaleSheetLayoutView="100" workbookViewId="0">
      <selection activeCell="A6" sqref="A6"/>
    </sheetView>
  </sheetViews>
  <sheetFormatPr defaultColWidth="10" defaultRowHeight="15.5" x14ac:dyDescent="0.35"/>
  <cols>
    <col min="1" max="16384" width="10" style="199"/>
  </cols>
  <sheetData>
    <row r="1" spans="1:9" x14ac:dyDescent="0.35">
      <c r="A1" s="2119"/>
      <c r="B1" s="2119"/>
      <c r="C1" s="2119"/>
      <c r="D1" s="2119"/>
      <c r="E1" s="2119"/>
      <c r="F1" s="2119"/>
      <c r="G1" s="2119"/>
      <c r="H1" s="2119"/>
      <c r="I1" s="2119"/>
    </row>
    <row r="2" spans="1:9" ht="21" customHeight="1" x14ac:dyDescent="0.35">
      <c r="A2" s="2120" t="str">
        <f>UPPER(Input!M11)</f>
        <v>KEMENTERIAN PENDIDIKAN DAN KEBUDAYAAN</v>
      </c>
      <c r="B2" s="2120"/>
      <c r="C2" s="2120"/>
      <c r="D2" s="2120"/>
      <c r="E2" s="2120"/>
      <c r="F2" s="2120"/>
      <c r="G2" s="2120"/>
      <c r="H2" s="2120"/>
      <c r="I2" s="2120"/>
    </row>
    <row r="3" spans="1:9" ht="21" customHeight="1" x14ac:dyDescent="0.35">
      <c r="A3" s="2121" t="str">
        <f>UPPER(Input!M13)</f>
        <v>BALAI PELESTARIAN NILAI BUDAYA BALI</v>
      </c>
      <c r="B3" s="2121"/>
      <c r="C3" s="2121"/>
      <c r="D3" s="2121"/>
      <c r="E3" s="2121"/>
      <c r="F3" s="2121"/>
      <c r="G3" s="2121"/>
      <c r="H3" s="2121"/>
      <c r="I3" s="2121"/>
    </row>
    <row r="4" spans="1:9" ht="17.25" customHeight="1" x14ac:dyDescent="0.35">
      <c r="A4" s="2122" t="str">
        <f>(Input!L16)&amp;" "&amp;(Input!L20)</f>
        <v>Jalan Raya Dalung Abianbase No. 107, Dalung, Kuta Utara, Badung, Bali. Badung</v>
      </c>
      <c r="B4" s="2122"/>
      <c r="C4" s="2122"/>
      <c r="D4" s="2122"/>
      <c r="E4" s="2122"/>
      <c r="F4" s="2122"/>
      <c r="G4" s="2122"/>
      <c r="H4" s="2122"/>
      <c r="I4" s="2122"/>
    </row>
    <row r="5" spans="1:9" ht="17.25" customHeight="1" x14ac:dyDescent="0.35">
      <c r="A5" s="2123" t="str">
        <f>"Telepon "&amp;Input!$L$18&amp;""</f>
        <v>Telepon 0361-439547</v>
      </c>
      <c r="B5" s="2123"/>
      <c r="C5" s="2123"/>
      <c r="D5" s="2123"/>
      <c r="E5" s="2123"/>
      <c r="F5" s="2123"/>
      <c r="G5" s="2123"/>
      <c r="H5" s="2123"/>
      <c r="I5" s="2123"/>
    </row>
    <row r="6" spans="1:9" ht="4.5" customHeight="1" thickBot="1" x14ac:dyDescent="0.4">
      <c r="A6" s="676"/>
      <c r="B6" s="676"/>
      <c r="C6" s="676"/>
      <c r="D6" s="676"/>
      <c r="E6" s="676"/>
      <c r="F6" s="676"/>
      <c r="G6" s="676"/>
      <c r="H6" s="676"/>
      <c r="I6" s="676"/>
    </row>
    <row r="7" spans="1:9" ht="16" thickTop="1" x14ac:dyDescent="0.35">
      <c r="A7" s="671"/>
      <c r="B7" s="671"/>
      <c r="C7" s="671"/>
      <c r="D7" s="671"/>
      <c r="E7" s="671"/>
      <c r="F7" s="671"/>
      <c r="G7" s="671"/>
      <c r="H7" s="671"/>
      <c r="I7" s="671"/>
    </row>
    <row r="8" spans="1:9" x14ac:dyDescent="0.35">
      <c r="A8" s="671"/>
      <c r="B8" s="671"/>
      <c r="C8" s="671"/>
      <c r="D8" s="671"/>
      <c r="E8" s="671"/>
      <c r="F8" s="671"/>
      <c r="G8" s="671"/>
      <c r="H8" s="671"/>
      <c r="I8" s="671"/>
    </row>
    <row r="9" spans="1:9" ht="17.5" x14ac:dyDescent="0.35">
      <c r="A9" s="2120" t="s">
        <v>43</v>
      </c>
      <c r="B9" s="2120"/>
      <c r="C9" s="2120"/>
      <c r="D9" s="2120"/>
      <c r="E9" s="2120"/>
      <c r="F9" s="2120"/>
      <c r="G9" s="2120"/>
      <c r="H9" s="2120"/>
      <c r="I9" s="2120"/>
    </row>
    <row r="10" spans="1:9" x14ac:dyDescent="0.35">
      <c r="A10" s="671"/>
      <c r="B10" s="671"/>
      <c r="C10" s="671"/>
      <c r="D10" s="671"/>
      <c r="E10" s="671"/>
      <c r="F10" s="671"/>
      <c r="G10" s="671"/>
      <c r="H10" s="671"/>
      <c r="I10" s="671"/>
    </row>
    <row r="11" spans="1:9" x14ac:dyDescent="0.35">
      <c r="A11" s="671"/>
      <c r="B11" s="671"/>
      <c r="C11" s="671"/>
      <c r="D11" s="671"/>
      <c r="E11" s="671"/>
      <c r="F11" s="671"/>
      <c r="G11" s="671"/>
      <c r="H11" s="671"/>
      <c r="I11" s="671"/>
    </row>
    <row r="12" spans="1:9" x14ac:dyDescent="0.35">
      <c r="A12" s="671"/>
      <c r="B12" s="671"/>
      <c r="C12" s="671"/>
      <c r="D12" s="671"/>
      <c r="E12" s="671"/>
      <c r="F12" s="671"/>
      <c r="G12" s="671"/>
      <c r="H12" s="671"/>
      <c r="I12" s="671"/>
    </row>
    <row r="13" spans="1:9" x14ac:dyDescent="0.35">
      <c r="A13" s="2111" t="str">
        <f>"Laporan  Keuangan   "&amp;Input!$M$13&amp;" yang terdiri dari: Laporan Realisasi Anggaran, Neraca, Laporan Operasional, Laporan Perubahan Ekuitas dan Catatan atas Laporan Keuangan untuk periode yang berakhir "&amp;Input!$M$24&amp;" sebagaimana terlampir, adalah merupakan tanggung jawab kami."</f>
        <v>Laporan  Keuangan   BALAI PELESTARIAN NILAI BUDAYA BALI yang terdiri dari: Laporan Realisasi Anggaran, Neraca, Laporan Operasional, Laporan Perubahan Ekuitas dan Catatan atas Laporan Keuangan untuk periode yang berakhir 31 Desember 2019 sebagaimana terlampir, adalah merupakan tanggung jawab kami.</v>
      </c>
      <c r="B13" s="2111"/>
      <c r="C13" s="2111"/>
      <c r="D13" s="2111"/>
      <c r="E13" s="2111"/>
      <c r="F13" s="2111"/>
      <c r="G13" s="2111"/>
      <c r="H13" s="2111"/>
      <c r="I13" s="2111"/>
    </row>
    <row r="14" spans="1:9" s="665" customFormat="1" x14ac:dyDescent="0.35">
      <c r="A14" s="2111"/>
      <c r="B14" s="2111"/>
      <c r="C14" s="2111"/>
      <c r="D14" s="2111"/>
      <c r="E14" s="2111"/>
      <c r="F14" s="2111"/>
      <c r="G14" s="2111"/>
      <c r="H14" s="2111"/>
      <c r="I14" s="2111"/>
    </row>
    <row r="15" spans="1:9" s="665" customFormat="1" x14ac:dyDescent="0.35">
      <c r="A15" s="2111"/>
      <c r="B15" s="2111"/>
      <c r="C15" s="2111"/>
      <c r="D15" s="2111"/>
      <c r="E15" s="2111"/>
      <c r="F15" s="2111"/>
      <c r="G15" s="2111"/>
      <c r="H15" s="2111"/>
      <c r="I15" s="2111"/>
    </row>
    <row r="16" spans="1:9" s="665" customFormat="1" x14ac:dyDescent="0.35">
      <c r="A16" s="2111"/>
      <c r="B16" s="2111"/>
      <c r="C16" s="2111"/>
      <c r="D16" s="2111"/>
      <c r="E16" s="2111"/>
      <c r="F16" s="2111"/>
      <c r="G16" s="2111"/>
      <c r="H16" s="2111"/>
      <c r="I16" s="2111"/>
    </row>
    <row r="17" spans="1:9" s="665" customFormat="1" x14ac:dyDescent="0.35">
      <c r="A17" s="2118"/>
      <c r="B17" s="2118"/>
      <c r="C17" s="2118"/>
      <c r="D17" s="2118"/>
      <c r="E17" s="2118"/>
      <c r="F17" s="2118"/>
      <c r="G17" s="2118"/>
      <c r="H17" s="2118"/>
      <c r="I17" s="2118"/>
    </row>
    <row r="18" spans="1:9" ht="16.5" x14ac:dyDescent="0.35">
      <c r="A18" s="1176"/>
      <c r="B18" s="1176"/>
      <c r="C18" s="1176"/>
      <c r="D18" s="1176"/>
      <c r="E18" s="1176"/>
      <c r="F18" s="1176"/>
      <c r="G18" s="1176"/>
      <c r="H18" s="1176"/>
      <c r="I18" s="1176"/>
    </row>
    <row r="19" spans="1:9" x14ac:dyDescent="0.35">
      <c r="A19" s="2111" t="s">
        <v>44</v>
      </c>
      <c r="B19" s="2111"/>
      <c r="C19" s="2111"/>
      <c r="D19" s="2111"/>
      <c r="E19" s="2111"/>
      <c r="F19" s="2111"/>
      <c r="G19" s="2111"/>
      <c r="H19" s="2111"/>
      <c r="I19" s="2111"/>
    </row>
    <row r="20" spans="1:9" s="665" customFormat="1" x14ac:dyDescent="0.35">
      <c r="A20" s="2111"/>
      <c r="B20" s="2111"/>
      <c r="C20" s="2111"/>
      <c r="D20" s="2111"/>
      <c r="E20" s="2111"/>
      <c r="F20" s="2111"/>
      <c r="G20" s="2111"/>
      <c r="H20" s="2111"/>
      <c r="I20" s="2111"/>
    </row>
    <row r="21" spans="1:9" s="665" customFormat="1" x14ac:dyDescent="0.35">
      <c r="A21" s="2111"/>
      <c r="B21" s="2111"/>
      <c r="C21" s="2111"/>
      <c r="D21" s="2111"/>
      <c r="E21" s="2111"/>
      <c r="F21" s="2111"/>
      <c r="G21" s="2111"/>
      <c r="H21" s="2111"/>
      <c r="I21" s="2111"/>
    </row>
    <row r="22" spans="1:9" s="665" customFormat="1" x14ac:dyDescent="0.35">
      <c r="A22" s="2118"/>
      <c r="B22" s="2118"/>
      <c r="C22" s="2118"/>
      <c r="D22" s="2118"/>
      <c r="E22" s="2118"/>
      <c r="F22" s="2118"/>
      <c r="G22" s="2118"/>
      <c r="H22" s="2118"/>
      <c r="I22" s="2118"/>
    </row>
    <row r="23" spans="1:9" ht="16.5" x14ac:dyDescent="0.35">
      <c r="A23" s="1176"/>
      <c r="B23" s="1176"/>
      <c r="C23" s="1176"/>
      <c r="D23" s="1176"/>
      <c r="E23" s="1176"/>
      <c r="F23" s="1176"/>
      <c r="G23" s="1176"/>
      <c r="H23" s="1176"/>
      <c r="I23" s="1176"/>
    </row>
    <row r="24" spans="1:9" ht="16.5" x14ac:dyDescent="0.35">
      <c r="A24" s="1176"/>
      <c r="B24" s="1176"/>
      <c r="C24" s="1176"/>
      <c r="D24" s="1176"/>
      <c r="E24" s="1176"/>
      <c r="F24" s="1176"/>
      <c r="G24" s="1176"/>
      <c r="H24" s="1176"/>
      <c r="I24" s="1176"/>
    </row>
    <row r="25" spans="1:9" ht="16.5" x14ac:dyDescent="0.35">
      <c r="A25" s="1176"/>
      <c r="B25" s="1176"/>
      <c r="C25" s="1176"/>
      <c r="D25" s="1176"/>
      <c r="E25" s="1176"/>
      <c r="F25" s="1176"/>
      <c r="G25" s="1176"/>
      <c r="H25" s="1176"/>
      <c r="I25" s="1176"/>
    </row>
    <row r="26" spans="1:9" ht="16.5" x14ac:dyDescent="0.35">
      <c r="A26" s="1176"/>
      <c r="B26" s="1176"/>
      <c r="C26" s="1176"/>
      <c r="D26" s="1176"/>
      <c r="E26" s="1176"/>
      <c r="F26" s="1176"/>
      <c r="G26" s="1176"/>
      <c r="H26" s="1176"/>
      <c r="I26" s="1176"/>
    </row>
    <row r="27" spans="1:9" ht="16.5" x14ac:dyDescent="0.35">
      <c r="A27" s="1176"/>
      <c r="B27" s="1176"/>
      <c r="C27" s="1176"/>
      <c r="D27" s="1176"/>
      <c r="E27" s="1176"/>
      <c r="F27" s="1176"/>
      <c r="G27" s="1176"/>
      <c r="H27" s="1176"/>
      <c r="I27" s="1176"/>
    </row>
    <row r="28" spans="1:9" ht="16.5" x14ac:dyDescent="0.35">
      <c r="A28" s="1176"/>
      <c r="B28" s="1176"/>
      <c r="C28" s="1176"/>
      <c r="D28" s="1176"/>
      <c r="E28" s="1176"/>
      <c r="F28" s="1176"/>
      <c r="G28" s="1176"/>
      <c r="H28" s="1176"/>
      <c r="I28" s="1176"/>
    </row>
    <row r="29" spans="1:9" ht="16.5" x14ac:dyDescent="0.35">
      <c r="A29" s="1176"/>
      <c r="B29" s="1176"/>
      <c r="C29" s="1176"/>
      <c r="D29" s="1176"/>
      <c r="E29" s="1176"/>
      <c r="F29" s="1174" t="str">
        <f>Input!$L$20&amp;", "&amp;Input!$L$23</f>
        <v>Badung, 29 Januari 2019</v>
      </c>
      <c r="G29" s="1176"/>
      <c r="H29" s="1176"/>
      <c r="I29" s="1176"/>
    </row>
    <row r="30" spans="1:9" ht="16.5" x14ac:dyDescent="0.35">
      <c r="A30" s="1176"/>
      <c r="B30" s="1176"/>
      <c r="C30" s="1176"/>
      <c r="D30" s="1176"/>
      <c r="E30" s="1176"/>
      <c r="F30" s="1175" t="s">
        <v>158</v>
      </c>
      <c r="G30" s="1176"/>
      <c r="H30" s="1176"/>
      <c r="I30" s="1176"/>
    </row>
    <row r="31" spans="1:9" ht="16.5" x14ac:dyDescent="0.35">
      <c r="A31" s="1176"/>
      <c r="B31" s="1176"/>
      <c r="C31" s="1176"/>
      <c r="D31" s="1176"/>
      <c r="E31" s="1176"/>
      <c r="F31" s="1177"/>
      <c r="G31" s="1176"/>
      <c r="H31" s="1176"/>
      <c r="I31" s="1176"/>
    </row>
    <row r="32" spans="1:9" ht="16.5" x14ac:dyDescent="0.35">
      <c r="A32" s="1176"/>
      <c r="B32" s="1176"/>
      <c r="C32" s="1176"/>
      <c r="D32" s="1176"/>
      <c r="E32" s="1176"/>
      <c r="F32" s="1177"/>
      <c r="G32" s="1176"/>
      <c r="H32" s="1176"/>
      <c r="I32" s="1176"/>
    </row>
    <row r="33" spans="1:9" ht="16.5" x14ac:dyDescent="0.35">
      <c r="A33" s="1176"/>
      <c r="B33" s="1176"/>
      <c r="C33" s="1176"/>
      <c r="D33" s="1176"/>
      <c r="E33" s="1176"/>
      <c r="F33" s="1177"/>
      <c r="G33" s="1176"/>
      <c r="H33" s="1176"/>
      <c r="I33" s="1176"/>
    </row>
    <row r="34" spans="1:9" ht="16.5" x14ac:dyDescent="0.35">
      <c r="A34" s="1176"/>
      <c r="B34" s="1176"/>
      <c r="C34" s="1176"/>
      <c r="D34" s="1176"/>
      <c r="E34" s="1176"/>
      <c r="F34" s="1175" t="str">
        <f>(Input!$L$21)</f>
        <v>I Made Dharma Suteja,S.S.,M.Si</v>
      </c>
      <c r="G34" s="1176"/>
      <c r="H34" s="1176"/>
      <c r="I34" s="1176"/>
    </row>
    <row r="35" spans="1:9" ht="16.5" x14ac:dyDescent="0.35">
      <c r="A35" s="1176"/>
      <c r="B35" s="1176"/>
      <c r="C35" s="1176"/>
      <c r="D35" s="1176"/>
      <c r="E35" s="1176"/>
      <c r="F35" s="1175" t="str">
        <f>"NIP"&amp;". "&amp;Input!$L$22</f>
        <v>NIP. 197106161997031001</v>
      </c>
      <c r="G35" s="1176"/>
      <c r="H35" s="1176"/>
      <c r="I35" s="1176"/>
    </row>
    <row r="36" spans="1:9" ht="17" x14ac:dyDescent="0.4">
      <c r="A36" s="1178"/>
      <c r="B36" s="1178"/>
      <c r="C36" s="1178"/>
      <c r="D36" s="1178"/>
      <c r="E36" s="1178"/>
      <c r="F36" s="1178"/>
      <c r="G36" s="1178"/>
      <c r="H36" s="1178"/>
      <c r="I36" s="1178"/>
    </row>
    <row r="37" spans="1:9" ht="17" x14ac:dyDescent="0.4">
      <c r="A37" s="1178"/>
      <c r="B37" s="1178"/>
      <c r="C37" s="1178"/>
      <c r="D37" s="1178"/>
      <c r="E37" s="1178"/>
      <c r="F37" s="1178"/>
      <c r="G37" s="1178"/>
      <c r="H37" s="1178"/>
      <c r="I37" s="1178"/>
    </row>
    <row r="38" spans="1:9" ht="17" x14ac:dyDescent="0.4">
      <c r="A38" s="1178"/>
      <c r="B38" s="1178"/>
      <c r="C38" s="1178"/>
      <c r="D38" s="1178"/>
      <c r="E38" s="1178"/>
      <c r="F38" s="1178"/>
      <c r="G38" s="1178"/>
      <c r="H38" s="1178"/>
      <c r="I38" s="1178"/>
    </row>
  </sheetData>
  <customSheetViews>
    <customSheetView guid="{EBF27D8D-2DD9-43E5-8C42-19F0B73014F5}" showPageBreaks="1" view="pageBreakPreview" topLeftCell="A7">
      <selection activeCell="D26" sqref="D26"/>
      <pageMargins left="0.70866141732283472" right="0.62992125984251968" top="0.74803149606299213" bottom="0.74803149606299213" header="0.31496062992125984" footer="0.31496062992125984"/>
      <pageSetup paperSize="9" orientation="portrait" horizontalDpi="4294967294" r:id="rId1"/>
      <headerFooter>
        <oddFooter>&amp;L&amp;"Calibri,Bold Italic"&amp;U&amp;K0070C0Pernyataan Tanggung Jawab&amp;R&amp;"Calibri,Bold Italic"&amp;K0070C0iv</oddFooter>
      </headerFooter>
    </customSheetView>
  </customSheetViews>
  <mergeCells count="8">
    <mergeCell ref="A13:I17"/>
    <mergeCell ref="A19:I22"/>
    <mergeCell ref="A1:I1"/>
    <mergeCell ref="A9:I9"/>
    <mergeCell ref="A2:I2"/>
    <mergeCell ref="A3:I3"/>
    <mergeCell ref="A4:I4"/>
    <mergeCell ref="A5:I5"/>
  </mergeCells>
  <printOptions horizontalCentered="1"/>
  <pageMargins left="0.31496062992125984" right="0.23622047244094491" top="0.74803149606299213" bottom="0.86614173228346458" header="0.31496062992125984" footer="0.31496062992125984"/>
  <pageSetup paperSize="9" scale="95" orientation="portrait" horizontalDpi="4294967294" r:id="rId2"/>
  <headerFooter>
    <oddFooter>&amp;C&amp;"+,Bold Italic"&amp;K000099v</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68"/>
  <sheetViews>
    <sheetView view="pageBreakPreview" topLeftCell="A7" zoomScaleSheetLayoutView="100" workbookViewId="0">
      <selection sqref="A1:E1"/>
    </sheetView>
  </sheetViews>
  <sheetFormatPr defaultColWidth="10" defaultRowHeight="15.5" x14ac:dyDescent="0.35"/>
  <cols>
    <col min="1" max="1" width="25.25" style="199" customWidth="1"/>
    <col min="2" max="3" width="15" style="199" bestFit="1" customWidth="1"/>
    <col min="4" max="4" width="14.5" style="199" customWidth="1"/>
    <col min="5" max="5" width="13.75" style="199" bestFit="1" customWidth="1"/>
    <col min="6" max="16384" width="10" style="199"/>
  </cols>
  <sheetData>
    <row r="1" spans="1:9" s="260" customFormat="1" x14ac:dyDescent="0.35">
      <c r="A1" s="2124" t="str">
        <f>"Laporan Keuangan Balai Pelestarian Nilai Budaya Bali Untuk Periode yang Berakhir 31 Desember 2018"</f>
        <v>Laporan Keuangan Balai Pelestarian Nilai Budaya Bali Untuk Periode yang Berakhir 31 Desember 2018</v>
      </c>
      <c r="B1" s="2124"/>
      <c r="C1" s="2124"/>
      <c r="D1" s="2124"/>
      <c r="E1" s="2124"/>
      <c r="F1" s="304"/>
      <c r="G1" s="304"/>
      <c r="H1" s="304"/>
      <c r="I1" s="304"/>
    </row>
    <row r="3" spans="1:9" ht="9.75" customHeight="1" x14ac:dyDescent="0.35">
      <c r="A3" s="2126" t="s">
        <v>1216</v>
      </c>
      <c r="B3" s="2126"/>
      <c r="C3" s="2126"/>
      <c r="D3" s="2126"/>
      <c r="E3" s="2126"/>
    </row>
    <row r="4" spans="1:9" s="260" customFormat="1" ht="9.75" customHeight="1" x14ac:dyDescent="0.35">
      <c r="A4" s="2126"/>
      <c r="B4" s="2126"/>
      <c r="C4" s="2126"/>
      <c r="D4" s="2126"/>
      <c r="E4" s="2126"/>
    </row>
    <row r="5" spans="1:9" ht="8.25" customHeight="1" x14ac:dyDescent="0.35"/>
    <row r="6" spans="1:9" s="478" customFormat="1" x14ac:dyDescent="0.35">
      <c r="A6" s="2125" t="str">
        <f>"Laporan Keuangan "&amp;Input!$M$13&amp;" untuk periode yang berakhir "&amp;Input!$M$24&amp;" ini telah disusun dan disajikan sesuai dengan Peraturan Pemerintah Nomor 71 Tahun 2010 tentang Standar Akuntansi Pemerintahan (SAP) dan berdasarkan kaidah-kaidah pengelolaan keuangan yang sehat di lingkungan pemerintahan. Laporan Keuangan ini meliputi:"</f>
        <v>Laporan Keuangan BALAI PELESTARIAN NILAI BUDAYA BALI untuk periode yang berakhir 31 Desember 2019 ini telah disusun dan disajikan sesuai dengan Peraturan Pemerintah Nomor 71 Tahun 2010 tentang Standar Akuntansi Pemerintahan (SAP) dan berdasarkan kaidah-kaidah pengelolaan keuangan yang sehat di lingkungan pemerintahan. Laporan Keuangan ini meliputi:</v>
      </c>
      <c r="B6" s="2125"/>
      <c r="C6" s="2125"/>
      <c r="D6" s="2125"/>
      <c r="E6" s="2125"/>
    </row>
    <row r="7" spans="1:9" s="478" customFormat="1" x14ac:dyDescent="0.35">
      <c r="A7" s="2125"/>
      <c r="B7" s="2125"/>
      <c r="C7" s="2125"/>
      <c r="D7" s="2125"/>
      <c r="E7" s="2125"/>
    </row>
    <row r="8" spans="1:9" s="478" customFormat="1" x14ac:dyDescent="0.35">
      <c r="A8" s="2125"/>
      <c r="B8" s="2125"/>
      <c r="C8" s="2125"/>
      <c r="D8" s="2125"/>
      <c r="E8" s="2125"/>
    </row>
    <row r="9" spans="1:9" s="478" customFormat="1" x14ac:dyDescent="0.35">
      <c r="A9" s="2125"/>
      <c r="B9" s="2125"/>
      <c r="C9" s="2125"/>
      <c r="D9" s="2125"/>
      <c r="E9" s="2125"/>
    </row>
    <row r="10" spans="1:9" s="478" customFormat="1" x14ac:dyDescent="0.35">
      <c r="A10" s="1289"/>
      <c r="B10" s="1289"/>
      <c r="C10" s="1289"/>
      <c r="D10" s="1289"/>
      <c r="E10" s="1289"/>
    </row>
    <row r="11" spans="1:9" s="478" customFormat="1" ht="16.5" x14ac:dyDescent="0.35">
      <c r="A11" s="1292" t="s">
        <v>1837</v>
      </c>
      <c r="B11" s="1289"/>
      <c r="C11" s="1289"/>
      <c r="D11" s="1289"/>
      <c r="E11" s="1289"/>
    </row>
    <row r="12" spans="1:9" s="478" customFormat="1" ht="9.75" customHeight="1" x14ac:dyDescent="0.35">
      <c r="A12" s="1293"/>
      <c r="B12" s="1289"/>
      <c r="C12" s="1289"/>
      <c r="D12" s="1289"/>
      <c r="E12" s="1289"/>
    </row>
    <row r="13" spans="1:9" s="478" customFormat="1" x14ac:dyDescent="0.35">
      <c r="A13" s="2125" t="str">
        <f>"Laporan Realisasi Anggaran menggambarkan perbandingan antara anggaran dengan realisasinya, yang mencakup unsur-unsur Pendapatan-LRA dan Belanja selama periode 1 Januari sampai dengan "&amp;Input!$Q$24&amp;"."</f>
        <v>Laporan Realisasi Anggaran menggambarkan perbandingan antara anggaran dengan realisasinya, yang mencakup unsur-unsur Pendapatan-LRA dan Belanja selama periode 1 Januari sampai dengan 31 Desember 2019.</v>
      </c>
      <c r="B13" s="2125"/>
      <c r="C13" s="2125"/>
      <c r="D13" s="2125"/>
      <c r="E13" s="2125"/>
    </row>
    <row r="14" spans="1:9" s="478" customFormat="1" x14ac:dyDescent="0.35">
      <c r="A14" s="2125"/>
      <c r="B14" s="2125"/>
      <c r="C14" s="2125"/>
      <c r="D14" s="2125"/>
      <c r="E14" s="2125"/>
    </row>
    <row r="15" spans="1:9" s="478" customFormat="1" x14ac:dyDescent="0.35">
      <c r="A15" s="2125"/>
      <c r="B15" s="2125"/>
      <c r="C15" s="2125"/>
      <c r="D15" s="2125"/>
      <c r="E15" s="2125"/>
    </row>
    <row r="16" spans="1:9" s="478" customFormat="1" ht="12" customHeight="1" x14ac:dyDescent="0.35">
      <c r="A16" s="1290"/>
      <c r="B16" s="1290"/>
      <c r="C16" s="1290"/>
      <c r="D16" s="1290"/>
      <c r="E16" s="1290"/>
    </row>
    <row r="17" spans="1:5" s="478" customFormat="1" x14ac:dyDescent="0.35">
      <c r="A17" s="2125" t="str">
        <f>"Realisasi Pendapatan Negara pada "&amp;Input!$M$24&amp;" adalah berupa Pendapatan Negara Bukan Pajak sebesar "&amp;TEXT(Input!$K$554,"Rp#.##0")&amp;" atau mencapai "&amp;TEXT(Input!$O$554,"00,00")&amp;" % dari estimasi Pendapatan-LRA sebesar "&amp;TEXT(Input!$I$554,"Rp#.##0")&amp;"."</f>
        <v>Realisasi Pendapatan Negara pada 31 Desember 2019 adalah berupa Pendapatan Negara Bukan Pajak sebesar Rp3.299.999 atau mencapai 00,00 % dari estimasi Pendapatan-LRA sebesar Rp0.</v>
      </c>
      <c r="B17" s="2125"/>
      <c r="C17" s="2125"/>
      <c r="D17" s="2125"/>
      <c r="E17" s="2125"/>
    </row>
    <row r="18" spans="1:5" s="478" customFormat="1" x14ac:dyDescent="0.35">
      <c r="A18" s="2125"/>
      <c r="B18" s="2125"/>
      <c r="C18" s="2125"/>
      <c r="D18" s="2125"/>
      <c r="E18" s="2125"/>
    </row>
    <row r="19" spans="1:5" s="478" customFormat="1" ht="17.25" customHeight="1" x14ac:dyDescent="0.35">
      <c r="A19" s="2125"/>
      <c r="B19" s="2125"/>
      <c r="C19" s="2125"/>
      <c r="D19" s="2125"/>
      <c r="E19" s="2125"/>
    </row>
    <row r="20" spans="1:5" s="478" customFormat="1" ht="17.25" customHeight="1" x14ac:dyDescent="0.35">
      <c r="A20" s="1290"/>
      <c r="B20" s="1290"/>
      <c r="C20" s="1290"/>
      <c r="D20" s="1290"/>
      <c r="E20" s="1290"/>
    </row>
    <row r="21" spans="1:5" s="478" customFormat="1" x14ac:dyDescent="0.35">
      <c r="A21" s="2125" t="str">
        <f>"Realisasi Belanja Negara pada "&amp;Input!$M$24&amp;" adalah sebesar "&amp;TEXT('7 lra'!G21,"Rp#.##0")&amp;" atau mencapai "&amp;TEXT('7 lra'!H21,"00,00%")&amp;" dari alokasi anggaran sebesar "&amp;TEXT('7 lra'!F21,"Rp#.##0")&amp;"."</f>
        <v>Realisasi Belanja Negara pada 31 Desember 2019 adalah sebesar Rp11.431.644.723 atau mencapai 95,49% dari alokasi anggaran sebesar Rp11.971.966.000.</v>
      </c>
      <c r="B21" s="2125"/>
      <c r="C21" s="2125"/>
      <c r="D21" s="2125"/>
      <c r="E21" s="2125"/>
    </row>
    <row r="22" spans="1:5" s="478" customFormat="1" x14ac:dyDescent="0.35">
      <c r="A22" s="2125"/>
      <c r="B22" s="2125"/>
      <c r="C22" s="2125"/>
      <c r="D22" s="2125"/>
      <c r="E22" s="2125"/>
    </row>
    <row r="23" spans="1:5" s="478" customFormat="1" ht="13.5" customHeight="1" x14ac:dyDescent="0.35">
      <c r="A23" s="1289"/>
      <c r="B23" s="1289"/>
      <c r="C23" s="1289"/>
      <c r="D23" s="1289"/>
      <c r="E23" s="1289"/>
    </row>
    <row r="24" spans="1:5" s="478" customFormat="1" ht="16.5" x14ac:dyDescent="0.35">
      <c r="A24" s="1294" t="s">
        <v>1217</v>
      </c>
      <c r="B24" s="1289"/>
      <c r="C24" s="1289"/>
      <c r="D24" s="1289"/>
      <c r="E24" s="1289"/>
    </row>
    <row r="25" spans="1:5" s="478" customFormat="1" ht="11.25" customHeight="1" x14ac:dyDescent="0.35">
      <c r="A25" s="1294"/>
      <c r="B25" s="1289"/>
      <c r="C25" s="1289"/>
      <c r="D25" s="1289"/>
      <c r="E25" s="1289"/>
    </row>
    <row r="26" spans="1:5" s="478" customFormat="1" x14ac:dyDescent="0.35">
      <c r="A26" s="2125" t="str">
        <f>"Neraca menggambarkan posisi keuangan entitas mengenai aset, kewajiban, dan ekuitas  pada "&amp;Input!$Q$24&amp;"."</f>
        <v>Neraca menggambarkan posisi keuangan entitas mengenai aset, kewajiban, dan ekuitas  pada 31 Desember 2019.</v>
      </c>
      <c r="B26" s="2125"/>
      <c r="C26" s="2125"/>
      <c r="D26" s="2125"/>
      <c r="E26" s="2125"/>
    </row>
    <row r="27" spans="1:5" s="478" customFormat="1" x14ac:dyDescent="0.35">
      <c r="A27" s="2125"/>
      <c r="B27" s="2125"/>
      <c r="C27" s="2125"/>
      <c r="D27" s="2125"/>
      <c r="E27" s="2125"/>
    </row>
    <row r="28" spans="1:5" s="478" customFormat="1" ht="10.5" customHeight="1" x14ac:dyDescent="0.35">
      <c r="A28" s="1290"/>
      <c r="B28" s="1290"/>
      <c r="C28" s="1290"/>
      <c r="D28" s="1290"/>
      <c r="E28" s="1290"/>
    </row>
    <row r="29" spans="1:5" s="478" customFormat="1" x14ac:dyDescent="0.35">
      <c r="A29" s="2125" t="str">
        <f>"Nilai Aset per  "&amp;Input!$Q$24&amp;" dicatat dan disajikan sebesar  "&amp;TEXT(Input!$I$702,"Rp#.##0")&amp;" yang terdiri dari Aset Lancar sebesar "&amp;TEXT(Input!$I$672,"Rp#.##0")&amp;", Piutang Jangka Panjang (netto) sebesar "&amp;TEXT(Input!$I$694,"Rp#.##0")&amp;"; Aset Tetap (netto) sebesar "&amp;TEXT(Input!$I$688,"Rp#.##0")&amp;"; dan Aset Lainnya (netto) sebesar "&amp;TEXT(Input!$I$700,"Rp#.##0")&amp;"."</f>
        <v>Nilai Aset per  31 Desember 2019 dicatat dan disajikan sebesar  Rp23.766.101.180 yang terdiri dari Aset Lancar sebesar Rp6.258.600, Piutang Jangka Panjang (netto) sebesar Rp0; Aset Tetap (netto) sebesar Rp23.759.842.580; dan Aset Lainnya (netto) sebesar Rp0.</v>
      </c>
      <c r="B29" s="2125"/>
      <c r="C29" s="2125"/>
      <c r="D29" s="2125"/>
      <c r="E29" s="2125"/>
    </row>
    <row r="30" spans="1:5" s="478" customFormat="1" x14ac:dyDescent="0.35">
      <c r="A30" s="2125"/>
      <c r="B30" s="2125"/>
      <c r="C30" s="2125"/>
      <c r="D30" s="2125"/>
      <c r="E30" s="2125"/>
    </row>
    <row r="31" spans="1:5" s="478" customFormat="1" x14ac:dyDescent="0.35">
      <c r="A31" s="2125"/>
      <c r="B31" s="2125"/>
      <c r="C31" s="2125"/>
      <c r="D31" s="2125"/>
      <c r="E31" s="2125"/>
    </row>
    <row r="32" spans="1:5" s="478" customFormat="1" x14ac:dyDescent="0.35">
      <c r="A32" s="1290"/>
      <c r="B32" s="1290"/>
      <c r="C32" s="1290"/>
      <c r="D32" s="1290"/>
      <c r="E32" s="1290"/>
    </row>
    <row r="33" spans="1:5" s="478" customFormat="1" ht="18.75" customHeight="1" x14ac:dyDescent="0.35">
      <c r="A33" s="2125" t="str">
        <f>"Nilai Kewajiban dan Ekuitas masing-masing sebesar "&amp;TEXT(Input!$I$714,"Rp#.##0")&amp;" dan "&amp;TEXT(Input!$I$718,"Rp#.##0")&amp;"."</f>
        <v>Nilai Kewajiban dan Ekuitas masing-masing sebesar Rp0 dan Rp23.766.101.180.</v>
      </c>
      <c r="B33" s="2125"/>
      <c r="C33" s="2125"/>
      <c r="D33" s="2125"/>
      <c r="E33" s="2125"/>
    </row>
    <row r="34" spans="1:5" s="478" customFormat="1" ht="19.5" customHeight="1" x14ac:dyDescent="0.35">
      <c r="A34" s="1289"/>
      <c r="B34" s="1289"/>
      <c r="C34" s="1289"/>
      <c r="D34" s="1289"/>
      <c r="E34" s="1289"/>
    </row>
    <row r="35" spans="1:5" s="478" customFormat="1" ht="16.5" x14ac:dyDescent="0.35">
      <c r="A35" s="2128" t="s">
        <v>1218</v>
      </c>
      <c r="B35" s="2129"/>
      <c r="C35" s="2129"/>
      <c r="D35" s="2129"/>
      <c r="E35" s="2129"/>
    </row>
    <row r="36" spans="1:5" s="478" customFormat="1" x14ac:dyDescent="0.35">
      <c r="A36" s="1295"/>
      <c r="B36" s="1291"/>
      <c r="C36" s="1291"/>
      <c r="D36" s="1291"/>
      <c r="E36" s="1291"/>
    </row>
    <row r="37" spans="1:5" s="478" customFormat="1" x14ac:dyDescent="0.35">
      <c r="A37" s="2125" t="str">
        <f>"Laporan Operasional menyajikan berbagai unsur pendapatan-LO, beban, surplus/defisit dari operasi, surplus/defisit dari kegiatan non-operasional, surplus/defisit sebelum pos luar biasa, dan surplus/defisit-LO, yang diperlukan untuk penyajian yang wajar. "&amp;"Pendapatan-LO untuk periode sampai dengan "&amp;Input!$Q$24&amp;" adalah sebesar "&amp;TEXT(Input!$L$764,"Rp#.##0")&amp;", sedangkan jumlah beban dari Kegiatan Operasional senilai "&amp;TEXT(Input!$L$780,"Rp#.##0")&amp;" sehingga terdapat Defisit dari Kegiatan Operasional senilai "&amp;TEXT(Input!$L$781,"Rp#.##0")&amp;". "&amp;" Surplus Kegiatan Non Operasional dan Defisit Pos-Pos Luar Biasa masing-masing surplus sebesar "&amp;TEXT(Input!$L$799,"Rp#.##0")&amp;" dan defisit sebesar "&amp;TEXT(Input!$L$802,"Rp#.##0")&amp;" sehingga entitas mengalami Defisit-LO sebesar "&amp;TEXT(Input!$L$803,"Rp#.##0")&amp;"."</f>
        <v>Laporan Operasional menyajikan berbagai unsur pendapatan-LO, beban, surplus/defisit dari operasi, surplus/defisit dari kegiatan non-operasional, surplus/defisit sebelum pos luar biasa, dan surplus/defisit-LO, yang diperlukan untuk penyajian yang wajar. Pendapatan-LO untuk periode sampai dengan 31 Desember 2019 adalah sebesar Rp0, sedangkan jumlah beban dari Kegiatan Operasional senilai Rp10.857.892.643 sehingga terdapat Defisit dari Kegiatan Operasional senilai -Rp10.857.892.643.  Surplus Kegiatan Non Operasional dan Defisit Pos-Pos Luar Biasa masing-masing surplus sebesar Rp3.230.099 dan defisit sebesar Rp0 sehingga entitas mengalami Defisit-LO sebesar -Rp10.854.662.544.</v>
      </c>
      <c r="B37" s="2125"/>
      <c r="C37" s="2125"/>
      <c r="D37" s="2125"/>
      <c r="E37" s="2125"/>
    </row>
    <row r="38" spans="1:5" s="478" customFormat="1" x14ac:dyDescent="0.35">
      <c r="A38" s="2125"/>
      <c r="B38" s="2125"/>
      <c r="C38" s="2125"/>
      <c r="D38" s="2125"/>
      <c r="E38" s="2125"/>
    </row>
    <row r="39" spans="1:5" s="478" customFormat="1" x14ac:dyDescent="0.35">
      <c r="A39" s="2125"/>
      <c r="B39" s="2125"/>
      <c r="C39" s="2125"/>
      <c r="D39" s="2125"/>
      <c r="E39" s="2125"/>
    </row>
    <row r="40" spans="1:5" s="478" customFormat="1" x14ac:dyDescent="0.35">
      <c r="A40" s="2125"/>
      <c r="B40" s="2125"/>
      <c r="C40" s="2125"/>
      <c r="D40" s="2125"/>
      <c r="E40" s="2125"/>
    </row>
    <row r="41" spans="1:5" s="478" customFormat="1" x14ac:dyDescent="0.35">
      <c r="A41" s="2125"/>
      <c r="B41" s="2125"/>
      <c r="C41" s="2125"/>
      <c r="D41" s="2125"/>
      <c r="E41" s="2125"/>
    </row>
    <row r="42" spans="1:5" s="478" customFormat="1" x14ac:dyDescent="0.35">
      <c r="A42" s="2125"/>
      <c r="B42" s="2125"/>
      <c r="C42" s="2125"/>
      <c r="D42" s="2125"/>
      <c r="E42" s="2125"/>
    </row>
    <row r="43" spans="1:5" s="478" customFormat="1" x14ac:dyDescent="0.35">
      <c r="A43" s="2125"/>
      <c r="B43" s="2125"/>
      <c r="C43" s="2125"/>
      <c r="D43" s="2125"/>
      <c r="E43" s="2125"/>
    </row>
    <row r="44" spans="1:5" s="478" customFormat="1" x14ac:dyDescent="0.35">
      <c r="A44" s="2125"/>
      <c r="B44" s="2125"/>
      <c r="C44" s="2125"/>
      <c r="D44" s="2125"/>
      <c r="E44" s="2125"/>
    </row>
    <row r="45" spans="1:5" s="478" customFormat="1" x14ac:dyDescent="0.35">
      <c r="A45" s="1286"/>
      <c r="B45" s="1286"/>
      <c r="C45" s="1286"/>
      <c r="D45" s="1286"/>
      <c r="E45" s="1286"/>
    </row>
    <row r="46" spans="1:5" s="478" customFormat="1" ht="36" customHeight="1" x14ac:dyDescent="0.35">
      <c r="A46" s="1294" t="s">
        <v>1219</v>
      </c>
      <c r="B46" s="1289"/>
      <c r="C46" s="1289"/>
      <c r="D46" s="1289"/>
      <c r="E46" s="1289"/>
    </row>
    <row r="47" spans="1:5" s="478" customFormat="1" ht="16.5" x14ac:dyDescent="0.35">
      <c r="A47" s="1294"/>
      <c r="B47" s="1289"/>
      <c r="C47" s="1289"/>
      <c r="D47" s="1289"/>
      <c r="E47" s="1289"/>
    </row>
    <row r="48" spans="1:5" s="478" customFormat="1" x14ac:dyDescent="0.35">
      <c r="A48" s="2125" t="str">
        <f>"Laporan Perubahan Ekuitas menyajikan informasi kenaikan atau penurunan ekuitas tahun pelaporan dibanding dengan tahun sebelumnya. "&amp;"Ekuitas pada tanggal 01 Januari 2018 adalah sebesar "&amp;TEXT(Input!$L$809,"Rp#.##0")&amp;" dikurangi Defisit-LO sebesar "&amp;TEXT(Input!$L$810,"Rp#.##0")&amp;" ditambah dengan koreksi-koreksi senilai "&amp;TEXT(Input!$L$811,"Rp#.##0")&amp;" dan ditambah Transaksi Antar Entitas sebesar "&amp;TEXT(Input!$L$819,"Rp#.##0")&amp;" sehingga Ekuitas entitas pada tanggal "&amp;Input!$Q$24&amp;" adalah senilai "&amp;TEXT(Input!$L$821,"Rp#.##0")&amp;""</f>
        <v>Laporan Perubahan Ekuitas menyajikan informasi kenaikan atau penurunan ekuitas tahun pelaporan dibanding dengan tahun sebelumnya. Ekuitas pada tanggal 01 Januari 2018 adalah sebesar Rp23.189.043.788 dikurangi Defisit-LO sebesar -Rp10.854.662.544 ditambah dengan koreksi-koreksi senilai Rp3.375.212 dan ditambah Transaksi Antar Entitas sebesar Rp11.428.344.724 sehingga Ekuitas entitas pada tanggal 31 Desember 2019 adalah senilai Rp23.766.101.180</v>
      </c>
      <c r="B48" s="2125"/>
      <c r="C48" s="2125"/>
      <c r="D48" s="2125"/>
      <c r="E48" s="2125"/>
    </row>
    <row r="49" spans="1:5" s="478" customFormat="1" x14ac:dyDescent="0.35">
      <c r="A49" s="2125"/>
      <c r="B49" s="2125"/>
      <c r="C49" s="2125"/>
      <c r="D49" s="2125"/>
      <c r="E49" s="2125"/>
    </row>
    <row r="50" spans="1:5" s="478" customFormat="1" x14ac:dyDescent="0.35">
      <c r="A50" s="2125"/>
      <c r="B50" s="2125"/>
      <c r="C50" s="2125"/>
      <c r="D50" s="2125"/>
      <c r="E50" s="2125"/>
    </row>
    <row r="51" spans="1:5" s="478" customFormat="1" x14ac:dyDescent="0.35">
      <c r="A51" s="2125"/>
      <c r="B51" s="2125"/>
      <c r="C51" s="2125"/>
      <c r="D51" s="2125"/>
      <c r="E51" s="2125"/>
    </row>
    <row r="52" spans="1:5" s="478" customFormat="1" x14ac:dyDescent="0.35">
      <c r="A52" s="2125"/>
      <c r="B52" s="2125"/>
      <c r="C52" s="2125"/>
      <c r="D52" s="2125"/>
      <c r="E52" s="2125"/>
    </row>
    <row r="53" spans="1:5" s="478" customFormat="1" x14ac:dyDescent="0.35">
      <c r="A53" s="2125"/>
      <c r="B53" s="2125"/>
      <c r="C53" s="2125"/>
      <c r="D53" s="2125"/>
      <c r="E53" s="2125"/>
    </row>
    <row r="54" spans="1:5" s="478" customFormat="1" x14ac:dyDescent="0.35">
      <c r="A54" s="2125"/>
      <c r="B54" s="2125"/>
      <c r="C54" s="2125"/>
      <c r="D54" s="2125"/>
      <c r="E54" s="2125"/>
    </row>
    <row r="55" spans="1:5" s="478" customFormat="1" ht="16.5" x14ac:dyDescent="0.35">
      <c r="A55" s="1292" t="s">
        <v>1876</v>
      </c>
      <c r="B55" s="1289"/>
      <c r="C55" s="1289"/>
      <c r="D55" s="1289"/>
      <c r="E55" s="1289"/>
    </row>
    <row r="56" spans="1:5" s="478" customFormat="1" ht="16.5" x14ac:dyDescent="0.35">
      <c r="A56" s="1292"/>
      <c r="B56" s="1289"/>
      <c r="C56" s="1289"/>
      <c r="D56" s="1289"/>
      <c r="E56" s="1289"/>
    </row>
    <row r="57" spans="1:5" s="478" customFormat="1" x14ac:dyDescent="0.35">
      <c r="A57" s="2125" t="s">
        <v>1877</v>
      </c>
      <c r="B57" s="2125"/>
      <c r="C57" s="2125"/>
      <c r="D57" s="2125"/>
      <c r="E57" s="2125"/>
    </row>
    <row r="58" spans="1:5" s="478" customFormat="1" x14ac:dyDescent="0.35">
      <c r="A58" s="2127"/>
      <c r="B58" s="2127"/>
      <c r="C58" s="2127"/>
      <c r="D58" s="2127"/>
      <c r="E58" s="2127"/>
    </row>
    <row r="59" spans="1:5" x14ac:dyDescent="0.35">
      <c r="A59" s="2127"/>
      <c r="B59" s="2127"/>
      <c r="C59" s="2127"/>
      <c r="D59" s="2127"/>
      <c r="E59" s="2127"/>
    </row>
    <row r="60" spans="1:5" s="665" customFormat="1" x14ac:dyDescent="0.35">
      <c r="A60" s="2127"/>
      <c r="B60" s="2127"/>
      <c r="C60" s="2127"/>
      <c r="D60" s="2127"/>
      <c r="E60" s="2127"/>
    </row>
    <row r="61" spans="1:5" s="531" customFormat="1" x14ac:dyDescent="0.35">
      <c r="A61" s="2127"/>
      <c r="B61" s="2127"/>
      <c r="C61" s="2127"/>
      <c r="D61" s="2127"/>
      <c r="E61" s="2127"/>
    </row>
    <row r="62" spans="1:5" x14ac:dyDescent="0.35">
      <c r="A62" s="2127"/>
      <c r="B62" s="2127"/>
      <c r="C62" s="2127"/>
      <c r="D62" s="2127"/>
      <c r="E62" s="2127"/>
    </row>
    <row r="63" spans="1:5" x14ac:dyDescent="0.35">
      <c r="A63" s="1289"/>
      <c r="B63" s="1289"/>
      <c r="C63" s="1289"/>
      <c r="D63" s="1289"/>
      <c r="E63" s="1289"/>
    </row>
    <row r="64" spans="1:5" x14ac:dyDescent="0.35">
      <c r="A64" s="2125" t="str">
        <f>"Dalam penyajian Laporan Realisasi Anggaran untuk periode yang berakhir sampai dengan tanggal "&amp;Input!$Q$24&amp;" disusun dan disajikan berdasarkan basis kas. "&amp;"Sedangkan Neraca, Laporan Operasional, dan Laporan Perubahan Ekuitas untuk periode yang berakhir sampai dengan tanggal "&amp;Input!$Q$24&amp;" disusun dan disajikan dengan basis akrual."</f>
        <v>Dalam penyajian Laporan Realisasi Anggaran untuk periode yang berakhir sampai dengan tanggal 31 Desember 2019 disusun dan disajikan berdasarkan basis kas. Sedangkan Neraca, Laporan Operasional, dan Laporan Perubahan Ekuitas untuk periode yang berakhir sampai dengan tanggal 31 Desember 2019 disusun dan disajikan dengan basis akrual.</v>
      </c>
      <c r="B64" s="2125"/>
      <c r="C64" s="2125"/>
      <c r="D64" s="2125"/>
      <c r="E64" s="2125"/>
    </row>
    <row r="65" spans="1:5" x14ac:dyDescent="0.35">
      <c r="A65" s="2127"/>
      <c r="B65" s="2127"/>
      <c r="C65" s="2127"/>
      <c r="D65" s="2127"/>
      <c r="E65" s="2127"/>
    </row>
    <row r="66" spans="1:5" s="665" customFormat="1" x14ac:dyDescent="0.35">
      <c r="A66" s="2127"/>
      <c r="B66" s="2127"/>
      <c r="C66" s="2127"/>
      <c r="D66" s="2127"/>
      <c r="E66" s="2127"/>
    </row>
    <row r="67" spans="1:5" x14ac:dyDescent="0.35">
      <c r="A67" s="2127"/>
      <c r="B67" s="2127"/>
      <c r="C67" s="2127"/>
      <c r="D67" s="2127"/>
      <c r="E67" s="2127"/>
    </row>
    <row r="68" spans="1:5" x14ac:dyDescent="0.35">
      <c r="A68" s="2127"/>
      <c r="B68" s="2127"/>
      <c r="C68" s="2127"/>
      <c r="D68" s="2127"/>
      <c r="E68" s="2127"/>
    </row>
  </sheetData>
  <customSheetViews>
    <customSheetView guid="{EBF27D8D-2DD9-43E5-8C42-19F0B73014F5}" showPageBreaks="1" view="pageBreakPreview" topLeftCell="A17">
      <selection activeCell="A22" sqref="A22"/>
      <pageMargins left="0.6692913385826772" right="0.59055118110236227" top="0.62992125984251968" bottom="0.59055118110236227" header="0.31496062992125984" footer="0.31496062992125984"/>
      <pageSetup paperSize="9" scale="98" orientation="portrait" horizontalDpi="4294967294" r:id="rId1"/>
      <headerFooter>
        <oddFooter>&amp;L&amp;"Calibri,Bold Italic"&amp;U&amp;K0070C0Ringkasan Laporan Keuangan&amp;R&amp;"Calibri,Bold Italic"&amp;K0070C0&amp;P</oddFooter>
      </headerFooter>
    </customSheetView>
  </customSheetViews>
  <mergeCells count="14">
    <mergeCell ref="A64:E68"/>
    <mergeCell ref="A26:E27"/>
    <mergeCell ref="A29:E31"/>
    <mergeCell ref="A35:E35"/>
    <mergeCell ref="A37:E44"/>
    <mergeCell ref="A57:E62"/>
    <mergeCell ref="A48:E54"/>
    <mergeCell ref="A1:E1"/>
    <mergeCell ref="A33:E33"/>
    <mergeCell ref="A3:E4"/>
    <mergeCell ref="A17:E19"/>
    <mergeCell ref="A13:E15"/>
    <mergeCell ref="A6:E9"/>
    <mergeCell ref="A21:E22"/>
  </mergeCells>
  <printOptions horizontalCentered="1"/>
  <pageMargins left="1.1023622047244095" right="0.70866141732283472" top="0.74803149606299213" bottom="0.74803149606299213" header="0.31496062992125984" footer="0.31496062992125984"/>
  <pageSetup paperSize="9" scale="90" fitToHeight="0" orientation="portrait" useFirstPageNumber="1" horizontalDpi="4294967294" r:id="rId2"/>
  <headerFooter>
    <oddFooter>&amp;C&amp;"+,Bold Italic"&amp;K000099&amp;P</oddFooter>
  </headerFooter>
  <rowBreaks count="1" manualBreakCount="1">
    <brk id="45"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22"/>
  <sheetViews>
    <sheetView view="pageBreakPreview" zoomScaleSheetLayoutView="100" workbookViewId="0">
      <selection sqref="A1:J1"/>
    </sheetView>
  </sheetViews>
  <sheetFormatPr defaultColWidth="10" defaultRowHeight="15.5" x14ac:dyDescent="0.35"/>
  <cols>
    <col min="1" max="1" width="1.83203125" style="665" customWidth="1"/>
    <col min="2" max="2" width="2.08203125" style="199" customWidth="1"/>
    <col min="3" max="3" width="1.83203125" style="342" customWidth="1"/>
    <col min="4" max="4" width="23.5" style="199" customWidth="1"/>
    <col min="5" max="5" width="7" style="199" customWidth="1"/>
    <col min="6" max="6" width="13.58203125" style="199" customWidth="1"/>
    <col min="7" max="7" width="13.08203125" style="199" customWidth="1"/>
    <col min="8" max="8" width="8.5" style="199" bestFit="1" customWidth="1"/>
    <col min="9" max="9" width="13.58203125" style="199" customWidth="1"/>
    <col min="10" max="10" width="2" style="199" customWidth="1"/>
    <col min="11" max="16384" width="10" style="199"/>
  </cols>
  <sheetData>
    <row r="1" spans="1:10" s="308" customFormat="1" x14ac:dyDescent="0.35">
      <c r="A1" s="2130" t="str">
        <f>'2 kata'!B1</f>
        <v>Laporan Keuangan Balai Pelestarian Nilai Budaya Bali Untuk Periode yang Berakhir 31 Desember 2019</v>
      </c>
      <c r="B1" s="2130"/>
      <c r="C1" s="2130"/>
      <c r="D1" s="2130"/>
      <c r="E1" s="2130"/>
      <c r="F1" s="2130"/>
      <c r="G1" s="2130"/>
      <c r="H1" s="2130"/>
      <c r="I1" s="2130"/>
      <c r="J1" s="2130"/>
    </row>
    <row r="3" spans="1:10" ht="17.5" x14ac:dyDescent="0.35">
      <c r="B3" s="2126" t="s">
        <v>56</v>
      </c>
      <c r="C3" s="2126"/>
      <c r="D3" s="2126"/>
      <c r="E3" s="2126"/>
      <c r="F3" s="2126"/>
      <c r="G3" s="2126"/>
      <c r="H3" s="2126"/>
      <c r="I3" s="2126"/>
    </row>
    <row r="4" spans="1:10" ht="17.5" x14ac:dyDescent="0.35">
      <c r="B4" s="200" t="s">
        <v>56</v>
      </c>
      <c r="C4" s="200"/>
    </row>
    <row r="5" spans="1:10" x14ac:dyDescent="0.35">
      <c r="B5" s="201"/>
      <c r="C5" s="343"/>
    </row>
    <row r="6" spans="1:10" x14ac:dyDescent="0.35">
      <c r="B6" s="2134" t="str">
        <f>UPPER(Input!$M$13)</f>
        <v>BALAI PELESTARIAN NILAI BUDAYA BALI</v>
      </c>
      <c r="C6" s="2134"/>
      <c r="D6" s="2134"/>
      <c r="E6" s="2134"/>
      <c r="F6" s="2134"/>
      <c r="G6" s="2134"/>
      <c r="H6" s="2134"/>
      <c r="I6" s="2134"/>
    </row>
    <row r="7" spans="1:10" x14ac:dyDescent="0.35">
      <c r="B7" s="2134" t="s">
        <v>57</v>
      </c>
      <c r="C7" s="2134"/>
      <c r="D7" s="2134"/>
      <c r="E7" s="2134"/>
      <c r="F7" s="2134"/>
      <c r="G7" s="2134"/>
      <c r="H7" s="2134"/>
      <c r="I7" s="2134"/>
    </row>
    <row r="8" spans="1:10" x14ac:dyDescent="0.35">
      <c r="B8" s="2144" t="str">
        <f>"UNTUK PERIODE YANG BERAKHIR "&amp;UPPER(Input!$Q$24)&amp;" DAN "&amp;UPPER(Input!$M$25)</f>
        <v>UNTUK PERIODE YANG BERAKHIR 31 DESEMBER 2019 DAN 31 DESEMBER 2018</v>
      </c>
      <c r="C8" s="2144"/>
      <c r="D8" s="2144"/>
      <c r="E8" s="2144"/>
      <c r="F8" s="2144"/>
      <c r="G8" s="2144"/>
      <c r="H8" s="2144"/>
      <c r="I8" s="2144"/>
    </row>
    <row r="9" spans="1:10" ht="17.25" customHeight="1" x14ac:dyDescent="0.35">
      <c r="B9" s="677"/>
      <c r="C9" s="677"/>
      <c r="D9" s="677"/>
      <c r="E9" s="677"/>
      <c r="F9" s="677"/>
      <c r="G9" s="677"/>
      <c r="H9" s="677"/>
      <c r="I9" s="678" t="s">
        <v>58</v>
      </c>
    </row>
    <row r="10" spans="1:10" ht="18" customHeight="1" x14ac:dyDescent="0.35">
      <c r="B10" s="2135" t="s">
        <v>264</v>
      </c>
      <c r="C10" s="2136"/>
      <c r="D10" s="2136"/>
      <c r="E10" s="2139" t="s">
        <v>72</v>
      </c>
      <c r="F10" s="2147" t="str">
        <f>Input!$L$24</f>
        <v>TA 2019</v>
      </c>
      <c r="G10" s="2148"/>
      <c r="H10" s="2145" t="s">
        <v>1900</v>
      </c>
      <c r="I10" s="705" t="str">
        <f>Input!$L$25</f>
        <v>TA 2018</v>
      </c>
    </row>
    <row r="11" spans="1:10" ht="26.25" customHeight="1" x14ac:dyDescent="0.35">
      <c r="B11" s="2137"/>
      <c r="C11" s="2138"/>
      <c r="D11" s="2138"/>
      <c r="E11" s="2140"/>
      <c r="F11" s="680" t="s">
        <v>265</v>
      </c>
      <c r="G11" s="706" t="s">
        <v>266</v>
      </c>
      <c r="H11" s="2146"/>
      <c r="I11" s="679" t="s">
        <v>266</v>
      </c>
    </row>
    <row r="12" spans="1:10" ht="23.25" customHeight="1" x14ac:dyDescent="0.35">
      <c r="B12" s="2141" t="s">
        <v>60</v>
      </c>
      <c r="C12" s="2142"/>
      <c r="D12" s="2143"/>
      <c r="E12" s="682"/>
      <c r="F12" s="683"/>
      <c r="G12" s="684"/>
      <c r="H12" s="685"/>
      <c r="I12" s="686"/>
    </row>
    <row r="13" spans="1:10" ht="23.25" customHeight="1" x14ac:dyDescent="0.35">
      <c r="B13" s="687"/>
      <c r="C13" s="704" t="s">
        <v>62</v>
      </c>
      <c r="D13" s="703"/>
      <c r="E13" s="689" t="s">
        <v>1894</v>
      </c>
      <c r="F13" s="690">
        <f>Input!$I$548</f>
        <v>0</v>
      </c>
      <c r="G13" s="691">
        <f>Input!$K$548</f>
        <v>3299999</v>
      </c>
      <c r="H13" s="692">
        <f>IF(ISERROR(G13/F13),0,(G13/F13))</f>
        <v>0</v>
      </c>
      <c r="I13" s="693">
        <f>Input!$T$548</f>
        <v>48900000</v>
      </c>
    </row>
    <row r="14" spans="1:10" ht="23.25" customHeight="1" x14ac:dyDescent="0.35">
      <c r="B14" s="694"/>
      <c r="C14" s="695"/>
      <c r="D14" s="696" t="s">
        <v>1893</v>
      </c>
      <c r="E14" s="697"/>
      <c r="F14" s="698">
        <f>SUM(F13:F13)</f>
        <v>0</v>
      </c>
      <c r="G14" s="699">
        <f>SUM(G13:G13)</f>
        <v>3299999</v>
      </c>
      <c r="H14" s="700">
        <f>IF(ISERROR(G14/F14),0,(G14/F14))</f>
        <v>0</v>
      </c>
      <c r="I14" s="701">
        <f>SUM(I13:I13)</f>
        <v>48900000</v>
      </c>
    </row>
    <row r="15" spans="1:10" ht="23.25" customHeight="1" x14ac:dyDescent="0.35">
      <c r="B15" s="687"/>
      <c r="C15" s="688"/>
      <c r="D15" s="681"/>
      <c r="E15" s="689"/>
      <c r="F15" s="690"/>
      <c r="G15" s="691"/>
      <c r="H15" s="702"/>
      <c r="I15" s="693"/>
    </row>
    <row r="16" spans="1:10" ht="23.25" customHeight="1" x14ac:dyDescent="0.35">
      <c r="B16" s="2131" t="s">
        <v>63</v>
      </c>
      <c r="C16" s="2132"/>
      <c r="D16" s="2133"/>
      <c r="E16" s="697" t="s">
        <v>1895</v>
      </c>
      <c r="F16" s="690"/>
      <c r="G16" s="691"/>
      <c r="H16" s="702"/>
      <c r="I16" s="693"/>
    </row>
    <row r="17" spans="2:9" ht="23.25" customHeight="1" x14ac:dyDescent="0.35">
      <c r="B17" s="687"/>
      <c r="C17" s="704" t="str">
        <f>Input!D601</f>
        <v>Belanja Pegawai</v>
      </c>
      <c r="D17" s="703"/>
      <c r="E17" s="689" t="s">
        <v>1896</v>
      </c>
      <c r="F17" s="690">
        <f>Input!$I$558</f>
        <v>3443983000</v>
      </c>
      <c r="G17" s="691">
        <f>Input!$K$558</f>
        <v>3316366778</v>
      </c>
      <c r="H17" s="692">
        <f>IF(ISERROR(G17/F17),0,(G17/F17))</f>
        <v>0.96294516494419402</v>
      </c>
      <c r="I17" s="693">
        <f>Input!$T$558</f>
        <v>3415029601</v>
      </c>
    </row>
    <row r="18" spans="2:9" ht="23.25" customHeight="1" x14ac:dyDescent="0.35">
      <c r="B18" s="687"/>
      <c r="C18" s="704" t="str">
        <f>Input!D602</f>
        <v>Belanja Barang</v>
      </c>
      <c r="D18" s="703"/>
      <c r="E18" s="689" t="s">
        <v>1897</v>
      </c>
      <c r="F18" s="690">
        <f>Input!$I$559</f>
        <v>7044703000</v>
      </c>
      <c r="G18" s="691">
        <f>Input!$K$559</f>
        <v>6645148395</v>
      </c>
      <c r="H18" s="692">
        <f>IF(ISERROR(G18/F18),0,(G18/F18))</f>
        <v>0.94328297374637371</v>
      </c>
      <c r="I18" s="693">
        <f>Input!$T$559</f>
        <v>6719748800</v>
      </c>
    </row>
    <row r="19" spans="2:9" ht="23.25" customHeight="1" x14ac:dyDescent="0.35">
      <c r="B19" s="687"/>
      <c r="C19" s="704" t="str">
        <f>Input!D603</f>
        <v>Belanja Modal</v>
      </c>
      <c r="D19" s="703"/>
      <c r="E19" s="689" t="s">
        <v>1898</v>
      </c>
      <c r="F19" s="690">
        <f>Input!$I$570</f>
        <v>1483280000</v>
      </c>
      <c r="G19" s="691">
        <f>Input!$L$570</f>
        <v>1470129550</v>
      </c>
      <c r="H19" s="692">
        <f>IF(ISERROR(G19/F19),0,(G19/F19))</f>
        <v>0.99113420931988561</v>
      </c>
      <c r="I19" s="693">
        <f>Input!$T$570</f>
        <v>1357557649</v>
      </c>
    </row>
    <row r="20" spans="2:9" s="665" customFormat="1" ht="23.25" customHeight="1" x14ac:dyDescent="0.35">
      <c r="B20" s="687"/>
      <c r="C20" s="704" t="str">
        <f>Input!D607</f>
        <v>Belanja Bantuan Sosial</v>
      </c>
      <c r="D20" s="703"/>
      <c r="E20" s="689" t="s">
        <v>1899</v>
      </c>
      <c r="F20" s="690">
        <f>Input!$I$560</f>
        <v>0</v>
      </c>
      <c r="G20" s="691">
        <f>Input!$K$560</f>
        <v>0</v>
      </c>
      <c r="H20" s="692">
        <f>IF(ISERROR(G20/F20),0,(G20/F20))</f>
        <v>0</v>
      </c>
      <c r="I20" s="693">
        <f>Input!$T$560</f>
        <v>0</v>
      </c>
    </row>
    <row r="21" spans="2:9" ht="23.25" customHeight="1" thickBot="1" x14ac:dyDescent="0.4">
      <c r="B21" s="787"/>
      <c r="C21" s="788"/>
      <c r="D21" s="789" t="s">
        <v>285</v>
      </c>
      <c r="E21" s="790"/>
      <c r="F21" s="791">
        <f>SUM(F17:F20)</f>
        <v>11971966000</v>
      </c>
      <c r="G21" s="792">
        <f>SUM(G17:G20)</f>
        <v>11431644723</v>
      </c>
      <c r="H21" s="793">
        <f>IF(ISERROR(G21/F21),0,(G21/F21))</f>
        <v>0.95486779055336446</v>
      </c>
      <c r="I21" s="794">
        <f>SUM(I17:I20)</f>
        <v>11492336050</v>
      </c>
    </row>
    <row r="22" spans="2:9" ht="23.25" customHeight="1" thickTop="1" x14ac:dyDescent="0.35">
      <c r="B22" s="202"/>
      <c r="C22" s="202"/>
    </row>
  </sheetData>
  <customSheetViews>
    <customSheetView guid="{EBF27D8D-2DD9-43E5-8C42-19F0B73014F5}" showPageBreaks="1" view="pageBreakPreview">
      <selection activeCell="A3" sqref="A3:G4"/>
      <pageMargins left="0.70866141732283472" right="0.54" top="0.74803149606299213" bottom="0.74803149606299213" header="0.31496062992125984" footer="0.31496062992125984"/>
      <pageSetup paperSize="9" firstPageNumber="3" orientation="portrait" useFirstPageNumber="1" r:id="rId1"/>
      <headerFooter>
        <oddFooter>&amp;L&amp;"Arial Narrow,Regular"&amp;11&amp;U&amp;K0070C0Lihat Catatan atas Laporan Keuangan yang merupakan bagian tidak terpisahkan dari laporan keuangan ini&amp;R&amp;"Calibri,Bold Italic"&amp;K0070C0&amp;P</oddFooter>
      </headerFooter>
    </customSheetView>
  </customSheetViews>
  <mergeCells count="11">
    <mergeCell ref="A1:J1"/>
    <mergeCell ref="B3:I3"/>
    <mergeCell ref="B16:D16"/>
    <mergeCell ref="B6:I6"/>
    <mergeCell ref="B7:I7"/>
    <mergeCell ref="B10:D11"/>
    <mergeCell ref="E10:E11"/>
    <mergeCell ref="B12:D12"/>
    <mergeCell ref="B8:I8"/>
    <mergeCell ref="H10:H11"/>
    <mergeCell ref="F10:G10"/>
  </mergeCells>
  <printOptions horizontalCentered="1"/>
  <pageMargins left="0.31496062992125984" right="0.23622047244094491" top="0.74803149606299213" bottom="0.86614173228346458" header="0.31496062992125984" footer="0.31496062992125984"/>
  <pageSetup paperSize="9" firstPageNumber="3" fitToHeight="0" orientation="portrait" useFirstPageNumber="1" r:id="rId2"/>
  <headerFooter>
    <oddFooter>&amp;C&amp;"+,Bold Italic"&amp;K000099&amp;P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60"/>
  <sheetViews>
    <sheetView view="pageBreakPreview" topLeftCell="A4" zoomScaleSheetLayoutView="100" workbookViewId="0">
      <selection activeCell="D50" sqref="D50"/>
    </sheetView>
  </sheetViews>
  <sheetFormatPr defaultColWidth="10" defaultRowHeight="15.5" x14ac:dyDescent="0.35"/>
  <cols>
    <col min="1" max="1" width="1.75" style="665" customWidth="1"/>
    <col min="2" max="2" width="2.25" style="199" customWidth="1"/>
    <col min="3" max="3" width="3.08203125" style="199" customWidth="1"/>
    <col min="4" max="4" width="37.75" style="199" customWidth="1"/>
    <col min="5" max="5" width="7.75" style="199" customWidth="1"/>
    <col min="6" max="6" width="14" style="203" customWidth="1"/>
    <col min="7" max="7" width="14.25" style="203" customWidth="1"/>
    <col min="8" max="8" width="1.58203125" style="199" customWidth="1"/>
    <col min="9" max="16384" width="10" style="199"/>
  </cols>
  <sheetData>
    <row r="1" spans="1:8" s="308" customFormat="1" x14ac:dyDescent="0.35">
      <c r="A1" s="665"/>
      <c r="B1" s="2149" t="str">
        <f>'2 kata'!B1</f>
        <v>Laporan Keuangan Balai Pelestarian Nilai Budaya Bali Untuk Periode yang Berakhir 31 Desember 2019</v>
      </c>
      <c r="C1" s="2149"/>
      <c r="D1" s="2149"/>
      <c r="E1" s="2149"/>
      <c r="F1" s="2149"/>
      <c r="G1" s="2149"/>
      <c r="H1" s="305"/>
    </row>
    <row r="2" spans="1:8" ht="13.5" customHeight="1" x14ac:dyDescent="0.35"/>
    <row r="3" spans="1:8" ht="17.5" x14ac:dyDescent="0.35">
      <c r="B3" s="2126" t="s">
        <v>69</v>
      </c>
      <c r="C3" s="2126"/>
      <c r="D3" s="2126"/>
      <c r="E3" s="2126"/>
      <c r="F3" s="2126"/>
      <c r="G3" s="2126"/>
    </row>
    <row r="4" spans="1:8" ht="17.5" x14ac:dyDescent="0.35">
      <c r="B4" s="200"/>
    </row>
    <row r="5" spans="1:8" x14ac:dyDescent="0.35">
      <c r="B5" s="2150" t="str">
        <f>UPPER(Input!$M$13)</f>
        <v>BALAI PELESTARIAN NILAI BUDAYA BALI</v>
      </c>
      <c r="C5" s="2150"/>
      <c r="D5" s="2150"/>
      <c r="E5" s="2150"/>
      <c r="F5" s="2150"/>
      <c r="G5" s="2150"/>
    </row>
    <row r="6" spans="1:8" x14ac:dyDescent="0.35">
      <c r="B6" s="2151" t="s">
        <v>70</v>
      </c>
      <c r="C6" s="2151"/>
      <c r="D6" s="2151"/>
      <c r="E6" s="2151"/>
      <c r="F6" s="2151"/>
      <c r="G6" s="2151"/>
    </row>
    <row r="7" spans="1:8" x14ac:dyDescent="0.35">
      <c r="B7" s="2152" t="str">
        <f>"PER "&amp;UPPER(Input!$Q$24)&amp;" DAN "&amp;UPPER(Input!$T$25)</f>
        <v>PER 31 DESEMBER 2019 DAN 31 DESEMBER 2018</v>
      </c>
      <c r="C7" s="2152"/>
      <c r="D7" s="2152"/>
      <c r="E7" s="2152"/>
      <c r="F7" s="2152"/>
      <c r="G7" s="2152"/>
    </row>
    <row r="8" spans="1:8" x14ac:dyDescent="0.35">
      <c r="B8" s="708"/>
      <c r="C8" s="709"/>
      <c r="D8" s="709"/>
      <c r="E8" s="709"/>
      <c r="F8" s="710"/>
      <c r="G8" s="711" t="s">
        <v>58</v>
      </c>
    </row>
    <row r="9" spans="1:8" ht="23.25" customHeight="1" x14ac:dyDescent="0.35">
      <c r="B9" s="2153" t="s">
        <v>71</v>
      </c>
      <c r="C9" s="2153"/>
      <c r="D9" s="2153"/>
      <c r="E9" s="757" t="s">
        <v>72</v>
      </c>
      <c r="F9" s="569" t="str">
        <f>Input!$Y$24</f>
        <v>2019</v>
      </c>
      <c r="G9" s="569" t="str">
        <f>Input!$Y$25</f>
        <v>2018</v>
      </c>
    </row>
    <row r="10" spans="1:8" ht="22.5" customHeight="1" x14ac:dyDescent="0.35">
      <c r="B10" s="714" t="s">
        <v>73</v>
      </c>
      <c r="C10" s="768"/>
      <c r="D10" s="769"/>
      <c r="E10" s="765"/>
      <c r="F10" s="758"/>
      <c r="G10" s="760"/>
    </row>
    <row r="11" spans="1:8" ht="22.5" customHeight="1" x14ac:dyDescent="0.35">
      <c r="B11" s="716" t="s">
        <v>320</v>
      </c>
      <c r="C11" s="550"/>
      <c r="D11" s="770"/>
      <c r="E11" s="766"/>
      <c r="F11" s="759"/>
      <c r="G11" s="761"/>
    </row>
    <row r="12" spans="1:8" ht="22.5" customHeight="1" x14ac:dyDescent="0.35">
      <c r="B12" s="717"/>
      <c r="C12" s="771" t="str">
        <f>Input!C651</f>
        <v>Kas di Bendahara Pengeluaran</v>
      </c>
      <c r="D12" s="772"/>
      <c r="E12" s="715" t="s">
        <v>1730</v>
      </c>
      <c r="F12" s="759">
        <f>Input!I651</f>
        <v>0</v>
      </c>
      <c r="G12" s="761">
        <f>Input!$K$651</f>
        <v>0</v>
      </c>
      <c r="H12" s="351"/>
    </row>
    <row r="13" spans="1:8" ht="22.5" customHeight="1" x14ac:dyDescent="0.35">
      <c r="B13" s="717"/>
      <c r="C13" s="773" t="str">
        <f>Input!C652</f>
        <v>Kas di Bendahara Penerimaan</v>
      </c>
      <c r="D13" s="772"/>
      <c r="E13" s="715" t="s">
        <v>1731</v>
      </c>
      <c r="F13" s="759">
        <f>Input!$I$652</f>
        <v>0</v>
      </c>
      <c r="G13" s="761">
        <f>Input!$K$652</f>
        <v>0</v>
      </c>
    </row>
    <row r="14" spans="1:8" ht="22.5" customHeight="1" x14ac:dyDescent="0.35">
      <c r="B14" s="717"/>
      <c r="C14" s="773" t="str">
        <f>Input!C653</f>
        <v xml:space="preserve">Kas Lainnya dan Setara Kas </v>
      </c>
      <c r="D14" s="772"/>
      <c r="E14" s="715" t="s">
        <v>1732</v>
      </c>
      <c r="F14" s="759">
        <f>Input!$I$653</f>
        <v>0</v>
      </c>
      <c r="G14" s="761">
        <f>Input!$K$653</f>
        <v>0</v>
      </c>
    </row>
    <row r="15" spans="1:8" ht="22.5" customHeight="1" x14ac:dyDescent="0.35">
      <c r="B15" s="717"/>
      <c r="C15" s="773" t="str">
        <f>Input!C665</f>
        <v>Piutang PNBP</v>
      </c>
      <c r="D15" s="772"/>
      <c r="E15" s="715" t="s">
        <v>1733</v>
      </c>
      <c r="F15" s="759">
        <f>Input!$I$665</f>
        <v>0</v>
      </c>
      <c r="G15" s="761">
        <f>Input!$K$665</f>
        <v>0</v>
      </c>
    </row>
    <row r="16" spans="1:8" s="351" customFormat="1" ht="22.5" customHeight="1" x14ac:dyDescent="0.35">
      <c r="A16" s="665"/>
      <c r="B16" s="717"/>
      <c r="C16" s="773" t="str">
        <f>Input!C666</f>
        <v>Bagian Lancar TP/TGR</v>
      </c>
      <c r="D16" s="772"/>
      <c r="E16" s="715" t="s">
        <v>1734</v>
      </c>
      <c r="F16" s="759">
        <f>Input!$I$666</f>
        <v>0</v>
      </c>
      <c r="G16" s="761">
        <f>Input!$K$666</f>
        <v>0</v>
      </c>
    </row>
    <row r="17" spans="1:7" s="351" customFormat="1" ht="22.5" customHeight="1" x14ac:dyDescent="0.35">
      <c r="A17" s="665"/>
      <c r="B17" s="717"/>
      <c r="C17" s="773" t="str">
        <f>Input!C667</f>
        <v>Bagian Lancar Tagihan Penjualan Angsuran</v>
      </c>
      <c r="D17" s="772"/>
      <c r="E17" s="715" t="s">
        <v>1735</v>
      </c>
      <c r="F17" s="759">
        <f>Input!$I$667</f>
        <v>0</v>
      </c>
      <c r="G17" s="761">
        <f>Input!$K$667</f>
        <v>0</v>
      </c>
    </row>
    <row r="18" spans="1:7" s="351" customFormat="1" ht="22.5" customHeight="1" x14ac:dyDescent="0.35">
      <c r="A18" s="665"/>
      <c r="B18" s="717"/>
      <c r="C18" s="773" t="str">
        <f>Input!C668</f>
        <v>Penyisihan Piutang Tak Tertagih-Piutang Lancar</v>
      </c>
      <c r="D18" s="772"/>
      <c r="E18" s="715" t="s">
        <v>1736</v>
      </c>
      <c r="F18" s="759">
        <f>Input!$I$668</f>
        <v>0</v>
      </c>
      <c r="G18" s="761">
        <f>Input!$K$668</f>
        <v>0</v>
      </c>
    </row>
    <row r="19" spans="1:7" s="351" customFormat="1" ht="22.5" customHeight="1" x14ac:dyDescent="0.35">
      <c r="A19" s="665"/>
      <c r="B19" s="717"/>
      <c r="C19" s="773" t="str">
        <f>Input!C669</f>
        <v>Belanja Dibayar di Muka</v>
      </c>
      <c r="D19" s="772"/>
      <c r="E19" s="715" t="s">
        <v>1737</v>
      </c>
      <c r="F19" s="759">
        <f>Input!$I$669</f>
        <v>0</v>
      </c>
      <c r="G19" s="761">
        <f>Input!$K$669</f>
        <v>0</v>
      </c>
    </row>
    <row r="20" spans="1:7" s="351" customFormat="1" ht="22.5" customHeight="1" x14ac:dyDescent="0.35">
      <c r="A20" s="665"/>
      <c r="B20" s="717"/>
      <c r="C20" s="773" t="str">
        <f>Input!C670</f>
        <v>Pendapatan yang Masih Harus Diterima</v>
      </c>
      <c r="D20" s="772"/>
      <c r="E20" s="715" t="s">
        <v>1738</v>
      </c>
      <c r="F20" s="759">
        <f>Input!$I$670</f>
        <v>0</v>
      </c>
      <c r="G20" s="761">
        <f>Input!$K$670</f>
        <v>0</v>
      </c>
    </row>
    <row r="21" spans="1:7" s="591" customFormat="1" ht="22.5" customHeight="1" x14ac:dyDescent="0.35">
      <c r="A21" s="665"/>
      <c r="B21" s="717"/>
      <c r="C21" s="773" t="str">
        <f>Input!C671</f>
        <v>Persediaan</v>
      </c>
      <c r="D21" s="772"/>
      <c r="E21" s="715" t="s">
        <v>1879</v>
      </c>
      <c r="F21" s="763">
        <f>Input!$I$671</f>
        <v>6258600</v>
      </c>
      <c r="G21" s="761">
        <f>Input!$K$671</f>
        <v>365000</v>
      </c>
    </row>
    <row r="22" spans="1:7" s="351" customFormat="1" ht="22.5" customHeight="1" x14ac:dyDescent="0.35">
      <c r="A22" s="665"/>
      <c r="B22" s="717"/>
      <c r="C22" s="774" t="s">
        <v>78</v>
      </c>
      <c r="D22" s="772"/>
      <c r="E22" s="715"/>
      <c r="F22" s="764">
        <f>SUM(F12:F21)</f>
        <v>6258600</v>
      </c>
      <c r="G22" s="762">
        <f>SUM(G12:G21)</f>
        <v>365000</v>
      </c>
    </row>
    <row r="23" spans="1:7" s="351" customFormat="1" ht="22.5" customHeight="1" x14ac:dyDescent="0.35">
      <c r="A23" s="665"/>
      <c r="B23" s="717"/>
      <c r="C23" s="773"/>
      <c r="D23" s="772"/>
      <c r="E23" s="715"/>
      <c r="F23" s="759"/>
      <c r="G23" s="570"/>
    </row>
    <row r="24" spans="1:7" ht="22.5" customHeight="1" x14ac:dyDescent="0.35">
      <c r="B24" s="716" t="s">
        <v>930</v>
      </c>
      <c r="C24" s="551"/>
      <c r="D24" s="772"/>
      <c r="E24" s="715"/>
      <c r="F24" s="759"/>
      <c r="G24" s="570"/>
    </row>
    <row r="25" spans="1:7" ht="22.5" customHeight="1" x14ac:dyDescent="0.35">
      <c r="B25" s="717"/>
      <c r="C25" s="2154" t="str">
        <f>Input!C691</f>
        <v>Tagihan TP/TGR</v>
      </c>
      <c r="D25" s="2155"/>
      <c r="E25" s="715" t="s">
        <v>1878</v>
      </c>
      <c r="F25" s="759">
        <f>Input!I691</f>
        <v>0</v>
      </c>
      <c r="G25" s="570">
        <f>Input!K691</f>
        <v>0</v>
      </c>
    </row>
    <row r="26" spans="1:7" ht="22.5" customHeight="1" x14ac:dyDescent="0.35">
      <c r="B26" s="717"/>
      <c r="C26" s="2154" t="str">
        <f>Input!C692</f>
        <v>Tagihan Penjualan Angsuran</v>
      </c>
      <c r="D26" s="2155"/>
      <c r="E26" s="715" t="s">
        <v>1742</v>
      </c>
      <c r="F26" s="759">
        <f>-Input!I692</f>
        <v>0</v>
      </c>
      <c r="G26" s="570">
        <f>Input!K692</f>
        <v>0</v>
      </c>
    </row>
    <row r="27" spans="1:7" ht="22.5" customHeight="1" x14ac:dyDescent="0.35">
      <c r="B27" s="717"/>
      <c r="C27" s="2154" t="str">
        <f>Input!C693</f>
        <v>Penyisihan Piutang Tak Tertagih-Piutang Jangka Panjang</v>
      </c>
      <c r="D27" s="2155"/>
      <c r="E27" s="715" t="s">
        <v>1743</v>
      </c>
      <c r="F27" s="759">
        <f>Input!I693</f>
        <v>0</v>
      </c>
      <c r="G27" s="570">
        <f>Input!K693</f>
        <v>0</v>
      </c>
    </row>
    <row r="28" spans="1:7" ht="22.5" customHeight="1" x14ac:dyDescent="0.35">
      <c r="B28" s="717"/>
      <c r="C28" s="2156" t="s">
        <v>1741</v>
      </c>
      <c r="D28" s="2157"/>
      <c r="E28" s="715"/>
      <c r="F28" s="764">
        <f>SUM(F25:F27)</f>
        <v>0</v>
      </c>
      <c r="G28" s="762">
        <f>SUM(G25:G27)</f>
        <v>0</v>
      </c>
    </row>
    <row r="29" spans="1:7" ht="22.5" customHeight="1" x14ac:dyDescent="0.35">
      <c r="B29" s="717"/>
      <c r="C29" s="551"/>
      <c r="D29" s="775"/>
      <c r="E29" s="715"/>
      <c r="F29" s="759"/>
      <c r="G29" s="570"/>
    </row>
    <row r="30" spans="1:7" ht="22.5" customHeight="1" x14ac:dyDescent="0.35">
      <c r="B30" s="716" t="s">
        <v>338</v>
      </c>
      <c r="C30" s="550"/>
      <c r="D30" s="770"/>
      <c r="E30" s="766"/>
      <c r="F30" s="759"/>
      <c r="G30" s="570"/>
    </row>
    <row r="31" spans="1:7" ht="22.5" customHeight="1" x14ac:dyDescent="0.35">
      <c r="B31" s="717"/>
      <c r="C31" s="551" t="str">
        <f>Input!$C$680</f>
        <v>Tanah</v>
      </c>
      <c r="D31" s="772"/>
      <c r="E31" s="715" t="s">
        <v>1745</v>
      </c>
      <c r="F31" s="759">
        <f>Input!I680</f>
        <v>15750000000</v>
      </c>
      <c r="G31" s="570">
        <f>Input!$K$680</f>
        <v>15750000000</v>
      </c>
    </row>
    <row r="32" spans="1:7" ht="22.5" customHeight="1" x14ac:dyDescent="0.35">
      <c r="B32" s="717"/>
      <c r="C32" s="551" t="str">
        <f>Input!$C$681</f>
        <v>Peralatan dan Mesin</v>
      </c>
      <c r="D32" s="772"/>
      <c r="E32" s="715" t="s">
        <v>1746</v>
      </c>
      <c r="F32" s="759">
        <f>Input!I681</f>
        <v>5985434940</v>
      </c>
      <c r="G32" s="570">
        <f>Input!$K$681</f>
        <v>5055343940</v>
      </c>
    </row>
    <row r="33" spans="1:7" ht="22.5" customHeight="1" x14ac:dyDescent="0.35">
      <c r="B33" s="717"/>
      <c r="C33" s="551" t="str">
        <f>Input!$C$682</f>
        <v>Gedung dan Bangunan</v>
      </c>
      <c r="D33" s="772"/>
      <c r="E33" s="715" t="s">
        <v>1747</v>
      </c>
      <c r="F33" s="759">
        <f>Input!I682</f>
        <v>6311976199</v>
      </c>
      <c r="G33" s="570">
        <f>Input!$K$682</f>
        <v>5775313149</v>
      </c>
    </row>
    <row r="34" spans="1:7" ht="22.5" customHeight="1" x14ac:dyDescent="0.35">
      <c r="B34" s="717"/>
      <c r="C34" s="551" t="str">
        <f>Input!$C$683</f>
        <v>Jalan, Irigasi, dan Jaringan</v>
      </c>
      <c r="D34" s="772"/>
      <c r="E34" s="715" t="s">
        <v>1748</v>
      </c>
      <c r="F34" s="759">
        <f>Input!I683</f>
        <v>29536650</v>
      </c>
      <c r="G34" s="570">
        <f>Input!$K$683</f>
        <v>29536650</v>
      </c>
    </row>
    <row r="35" spans="1:7" ht="22.5" customHeight="1" x14ac:dyDescent="0.35">
      <c r="B35" s="717"/>
      <c r="C35" s="551" t="str">
        <f>Input!$C$684</f>
        <v>Aset Tetap Lainnya</v>
      </c>
      <c r="D35" s="772"/>
      <c r="E35" s="715" t="s">
        <v>1749</v>
      </c>
      <c r="F35" s="759">
        <f>Input!I684</f>
        <v>339285000</v>
      </c>
      <c r="G35" s="570">
        <f>Input!$K$684</f>
        <v>335909500</v>
      </c>
    </row>
    <row r="36" spans="1:7" s="351" customFormat="1" ht="22.5" customHeight="1" x14ac:dyDescent="0.35">
      <c r="A36" s="665"/>
      <c r="B36" s="717"/>
      <c r="C36" s="551" t="str">
        <f>Input!$C$685</f>
        <v>Konstruksi dalam Pengerjaan</v>
      </c>
      <c r="D36" s="772"/>
      <c r="E36" s="715" t="s">
        <v>1750</v>
      </c>
      <c r="F36" s="759">
        <f>Input!I685</f>
        <v>0</v>
      </c>
      <c r="G36" s="570">
        <f>Input!$K$685</f>
        <v>0</v>
      </c>
    </row>
    <row r="37" spans="1:7" s="260" customFormat="1" ht="22.5" customHeight="1" x14ac:dyDescent="0.35">
      <c r="A37" s="665"/>
      <c r="B37" s="717"/>
      <c r="C37" s="551" t="str">
        <f>Input!$C$686</f>
        <v xml:space="preserve">Akumulasi Penyusutan Aset Tetap </v>
      </c>
      <c r="D37" s="772"/>
      <c r="E37" s="715" t="s">
        <v>1751</v>
      </c>
      <c r="F37" s="759">
        <f>Input!I686</f>
        <v>-4656390209</v>
      </c>
      <c r="G37" s="570">
        <f>Input!$K$686</f>
        <v>-3757424451</v>
      </c>
    </row>
    <row r="38" spans="1:7" ht="22.5" customHeight="1" x14ac:dyDescent="0.35">
      <c r="B38" s="776"/>
      <c r="C38" s="550" t="s">
        <v>83</v>
      </c>
      <c r="D38" s="770"/>
      <c r="E38" s="715"/>
      <c r="F38" s="780">
        <f>SUM(F31:F37)</f>
        <v>23759842580</v>
      </c>
      <c r="G38" s="781">
        <f>SUM(G31:G37)</f>
        <v>23188678788</v>
      </c>
    </row>
    <row r="39" spans="1:7" ht="22.5" customHeight="1" x14ac:dyDescent="0.35">
      <c r="B39" s="2165"/>
      <c r="C39" s="2166"/>
      <c r="D39" s="2167"/>
      <c r="E39" s="715"/>
      <c r="F39" s="778"/>
      <c r="G39" s="779"/>
    </row>
    <row r="40" spans="1:7" ht="22.5" customHeight="1" x14ac:dyDescent="0.35">
      <c r="B40" s="716" t="s">
        <v>342</v>
      </c>
      <c r="C40" s="550"/>
      <c r="D40" s="770"/>
      <c r="E40" s="766"/>
      <c r="F40" s="759"/>
      <c r="G40" s="570"/>
    </row>
    <row r="41" spans="1:7" ht="22.5" customHeight="1" x14ac:dyDescent="0.35">
      <c r="B41" s="716"/>
      <c r="C41" s="551" t="str">
        <f>Input!C697</f>
        <v>Aset Tak Berwujud</v>
      </c>
      <c r="D41" s="772"/>
      <c r="E41" s="715" t="s">
        <v>1753</v>
      </c>
      <c r="F41" s="759">
        <f>Input!I697</f>
        <v>0</v>
      </c>
      <c r="G41" s="570">
        <f>Input!$K$697</f>
        <v>0</v>
      </c>
    </row>
    <row r="42" spans="1:7" ht="22.5" customHeight="1" x14ac:dyDescent="0.35">
      <c r="B42" s="716"/>
      <c r="C42" s="551" t="str">
        <f>Input!C698</f>
        <v>Aset Lain-lain</v>
      </c>
      <c r="D42" s="772"/>
      <c r="E42" s="715" t="s">
        <v>1754</v>
      </c>
      <c r="F42" s="759">
        <f>Input!$I$698</f>
        <v>79907000</v>
      </c>
      <c r="G42" s="570">
        <f>Input!$K$698</f>
        <v>79907000</v>
      </c>
    </row>
    <row r="43" spans="1:7" ht="22.5" customHeight="1" x14ac:dyDescent="0.35">
      <c r="B43" s="717"/>
      <c r="C43" s="2154" t="str">
        <f>Input!C699</f>
        <v>Akumulasi Penyusutan dan Amortisasi Aset Lainnya</v>
      </c>
      <c r="D43" s="2155"/>
      <c r="E43" s="715" t="s">
        <v>1903</v>
      </c>
      <c r="F43" s="759">
        <f>Input!$I$699</f>
        <v>-79907000</v>
      </c>
      <c r="G43" s="570">
        <f>Input!$K$699</f>
        <v>-79907000</v>
      </c>
    </row>
    <row r="44" spans="1:7" ht="22.5" customHeight="1" x14ac:dyDescent="0.35">
      <c r="B44" s="776"/>
      <c r="C44" s="550" t="s">
        <v>85</v>
      </c>
      <c r="D44" s="770"/>
      <c r="E44" s="715"/>
      <c r="F44" s="780">
        <f>SUM(F41:F43)</f>
        <v>0</v>
      </c>
      <c r="G44" s="781">
        <f>SUM(G41:G43)</f>
        <v>0</v>
      </c>
    </row>
    <row r="45" spans="1:7" ht="22.5" customHeight="1" x14ac:dyDescent="0.35">
      <c r="B45" s="2162" t="s">
        <v>86</v>
      </c>
      <c r="C45" s="2163"/>
      <c r="D45" s="2164"/>
      <c r="E45" s="767"/>
      <c r="F45" s="782">
        <f>F22+F28+F38+F44</f>
        <v>23766101180</v>
      </c>
      <c r="G45" s="783">
        <f>G22+G28+G38+G44</f>
        <v>23189043788</v>
      </c>
    </row>
    <row r="46" spans="1:7" ht="22.5" customHeight="1" x14ac:dyDescent="0.35">
      <c r="B46" s="716" t="s">
        <v>87</v>
      </c>
      <c r="C46" s="550"/>
      <c r="D46" s="770"/>
      <c r="E46" s="715"/>
      <c r="F46" s="759"/>
      <c r="G46" s="570"/>
    </row>
    <row r="47" spans="1:7" ht="22.5" customHeight="1" x14ac:dyDescent="0.35">
      <c r="B47" s="716" t="s">
        <v>345</v>
      </c>
      <c r="C47" s="550"/>
      <c r="D47" s="770"/>
      <c r="E47" s="766"/>
      <c r="F47" s="759"/>
      <c r="G47" s="570"/>
    </row>
    <row r="48" spans="1:7" ht="22.5" customHeight="1" x14ac:dyDescent="0.35">
      <c r="B48" s="717"/>
      <c r="C48" s="551"/>
      <c r="D48" s="772" t="str">
        <f>Input!C706</f>
        <v>Uang Muka dari KPPN</v>
      </c>
      <c r="E48" s="715" t="s">
        <v>1904</v>
      </c>
      <c r="F48" s="759">
        <f>Input!I706</f>
        <v>0</v>
      </c>
      <c r="G48" s="570">
        <f>Input!K706</f>
        <v>0</v>
      </c>
    </row>
    <row r="49" spans="2:7" ht="22.5" customHeight="1" x14ac:dyDescent="0.35">
      <c r="B49" s="717"/>
      <c r="C49" s="551"/>
      <c r="D49" s="772" t="str">
        <f>Input!C707</f>
        <v>Utang kepada Pihak Ketiga</v>
      </c>
      <c r="E49" s="715" t="s">
        <v>1905</v>
      </c>
      <c r="F49" s="759">
        <f>Input!I707</f>
        <v>0</v>
      </c>
      <c r="G49" s="570">
        <f>Input!K707</f>
        <v>0</v>
      </c>
    </row>
    <row r="50" spans="2:7" s="665" customFormat="1" ht="22.5" customHeight="1" x14ac:dyDescent="0.35">
      <c r="B50" s="717"/>
      <c r="C50" s="551"/>
      <c r="D50" s="772" t="str">
        <f>Input!C708</f>
        <v>Utang kepada Pihak Ketiga BLU</v>
      </c>
      <c r="E50" s="715" t="s">
        <v>1906</v>
      </c>
      <c r="F50" s="759">
        <f>Input!I708</f>
        <v>0</v>
      </c>
      <c r="G50" s="570">
        <f>Input!K708</f>
        <v>0</v>
      </c>
    </row>
    <row r="51" spans="2:7" s="665" customFormat="1" ht="22.5" customHeight="1" x14ac:dyDescent="0.35">
      <c r="B51" s="717"/>
      <c r="C51" s="551"/>
      <c r="D51" s="772" t="str">
        <f>Input!C709</f>
        <v>Pendapatan yang Ditangguhkan</v>
      </c>
      <c r="E51" s="715" t="s">
        <v>1907</v>
      </c>
      <c r="F51" s="759">
        <f>Input!I709</f>
        <v>0</v>
      </c>
      <c r="G51" s="570">
        <f>Input!K709</f>
        <v>0</v>
      </c>
    </row>
    <row r="52" spans="2:7" ht="22.5" customHeight="1" x14ac:dyDescent="0.35">
      <c r="B52" s="717"/>
      <c r="C52" s="551"/>
      <c r="D52" s="772" t="str">
        <f>Input!C710</f>
        <v>Pendapatan Diterima Di Muka</v>
      </c>
      <c r="E52" s="715" t="s">
        <v>1910</v>
      </c>
      <c r="F52" s="759">
        <f>Input!I710</f>
        <v>0</v>
      </c>
      <c r="G52" s="570">
        <f>Input!K710</f>
        <v>0</v>
      </c>
    </row>
    <row r="53" spans="2:7" ht="22.5" customHeight="1" x14ac:dyDescent="0.35">
      <c r="B53" s="717"/>
      <c r="C53" s="551"/>
      <c r="D53" s="772" t="str">
        <f>Input!C711</f>
        <v>Beban yang Masih Harus Dibayar</v>
      </c>
      <c r="E53" s="715" t="s">
        <v>1911</v>
      </c>
      <c r="F53" s="759">
        <f>Input!I711</f>
        <v>0</v>
      </c>
      <c r="G53" s="570">
        <f>Input!K711</f>
        <v>0</v>
      </c>
    </row>
    <row r="54" spans="2:7" ht="22.5" customHeight="1" x14ac:dyDescent="0.35">
      <c r="B54" s="717"/>
      <c r="C54" s="551"/>
      <c r="D54" s="777" t="s">
        <v>89</v>
      </c>
      <c r="E54" s="715"/>
      <c r="F54" s="780">
        <f>SUM(F48:F53)</f>
        <v>0</v>
      </c>
      <c r="G54" s="781">
        <f>SUM(G48:G53)</f>
        <v>0</v>
      </c>
    </row>
    <row r="55" spans="2:7" ht="22.5" customHeight="1" x14ac:dyDescent="0.35">
      <c r="B55" s="2161" t="s">
        <v>90</v>
      </c>
      <c r="C55" s="2156"/>
      <c r="D55" s="2157"/>
      <c r="E55" s="715"/>
      <c r="F55" s="784">
        <f>F54</f>
        <v>0</v>
      </c>
      <c r="G55" s="785">
        <f>G54</f>
        <v>0</v>
      </c>
    </row>
    <row r="56" spans="2:7" ht="22.5" customHeight="1" x14ac:dyDescent="0.35">
      <c r="B56" s="716" t="s">
        <v>123</v>
      </c>
      <c r="C56" s="550"/>
      <c r="D56" s="770"/>
      <c r="E56" s="715"/>
      <c r="F56" s="759"/>
      <c r="G56" s="570"/>
    </row>
    <row r="57" spans="2:7" ht="22.5" customHeight="1" x14ac:dyDescent="0.35">
      <c r="B57" s="716"/>
      <c r="C57" s="550"/>
      <c r="D57" s="772" t="s">
        <v>1676</v>
      </c>
      <c r="E57" s="715" t="s">
        <v>1912</v>
      </c>
      <c r="F57" s="759" t="e">
        <f>#REF!</f>
        <v>#REF!</v>
      </c>
      <c r="G57" s="570">
        <f>Input!K718</f>
        <v>23189043788</v>
      </c>
    </row>
    <row r="58" spans="2:7" ht="22.5" customHeight="1" x14ac:dyDescent="0.35">
      <c r="B58" s="716"/>
      <c r="C58" s="550"/>
      <c r="D58" s="770" t="s">
        <v>91</v>
      </c>
      <c r="E58" s="715"/>
      <c r="F58" s="781" t="e">
        <f>SUM(F57)</f>
        <v>#REF!</v>
      </c>
      <c r="G58" s="781">
        <f>SUM(G57)</f>
        <v>23189043788</v>
      </c>
    </row>
    <row r="59" spans="2:7" ht="22.5" customHeight="1" thickBot="1" x14ac:dyDescent="0.4">
      <c r="B59" s="2158" t="s">
        <v>92</v>
      </c>
      <c r="C59" s="2159"/>
      <c r="D59" s="2160"/>
      <c r="E59" s="718"/>
      <c r="F59" s="786" t="e">
        <f>F55+F58</f>
        <v>#REF!</v>
      </c>
      <c r="G59" s="786">
        <f>G55+G58</f>
        <v>23189043788</v>
      </c>
    </row>
    <row r="60" spans="2:7" ht="13.5" customHeight="1" thickTop="1" x14ac:dyDescent="0.35">
      <c r="B60" s="204"/>
      <c r="C60" s="204"/>
      <c r="D60" s="204"/>
      <c r="E60" s="204"/>
      <c r="F60" s="205"/>
      <c r="G60" s="205"/>
    </row>
  </sheetData>
  <customSheetViews>
    <customSheetView guid="{EBF27D8D-2DD9-43E5-8C42-19F0B73014F5}" showPageBreaks="1" view="pageBreakPreview" topLeftCell="A37">
      <selection activeCell="A2" sqref="A1:F1048576"/>
      <rowBreaks count="2" manualBreakCount="2">
        <brk id="46" max="5" man="1"/>
        <brk id="84" max="5" man="1"/>
      </rowBreaks>
      <pageMargins left="0.59055118110236227" right="0.59055118110236227" top="0.74803149606299213" bottom="0.74803149606299213" header="0.31496062992125984" footer="0.31496062992125984"/>
      <pageSetup paperSize="9" firstPageNumber="4" orientation="portrait" useFirstPageNumber="1" horizontalDpi="4294967294" r:id="rId1"/>
      <headerFooter>
        <oddFooter>&amp;L&amp;"Calibri,Bold Italic"&amp;10&amp;U&amp;K0070C0Lihat Catatan atas Laporan Keuangan yang merupakan bagian tidak terpisahkan dari laporan keuangan ini&amp;R&amp;"Calibri,Bold Italic"&amp;K0070C0&amp;P</oddFooter>
      </headerFooter>
    </customSheetView>
  </customSheetViews>
  <mergeCells count="15">
    <mergeCell ref="C43:D43"/>
    <mergeCell ref="B59:D59"/>
    <mergeCell ref="B55:D55"/>
    <mergeCell ref="B45:D45"/>
    <mergeCell ref="B39:D39"/>
    <mergeCell ref="B9:D9"/>
    <mergeCell ref="C25:D25"/>
    <mergeCell ref="C26:D26"/>
    <mergeCell ref="C27:D27"/>
    <mergeCell ref="C28:D28"/>
    <mergeCell ref="B1:G1"/>
    <mergeCell ref="B3:G3"/>
    <mergeCell ref="B5:G5"/>
    <mergeCell ref="B6:G6"/>
    <mergeCell ref="B7:G7"/>
  </mergeCells>
  <printOptions horizontalCentered="1"/>
  <pageMargins left="0.31496062992125984" right="0.23622047244094491" top="0.74803149606299213" bottom="0.86614173228346458" header="0.31496062992125984" footer="0.31496062992125984"/>
  <pageSetup paperSize="9" firstPageNumber="4" fitToHeight="0" orientation="portrait" useFirstPageNumber="1" horizontalDpi="4294967294" r:id="rId2"/>
  <headerFooter>
    <oddFooter>&amp;C&amp;"+,Bold Italic"&amp;K000099&amp;P</oddFooter>
  </headerFooter>
  <rowBreaks count="1" manualBreakCount="1">
    <brk id="34"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H58"/>
  <sheetViews>
    <sheetView view="pageBreakPreview" zoomScaleSheetLayoutView="100" workbookViewId="0">
      <selection activeCell="B1" sqref="B1:G1"/>
    </sheetView>
  </sheetViews>
  <sheetFormatPr defaultColWidth="10" defaultRowHeight="15.5" x14ac:dyDescent="0.35"/>
  <cols>
    <col min="1" max="1" width="1.75" style="665" customWidth="1"/>
    <col min="2" max="2" width="2.25" style="665" customWidth="1"/>
    <col min="3" max="3" width="3.08203125" style="665" customWidth="1"/>
    <col min="4" max="4" width="37.75" style="665" customWidth="1"/>
    <col min="5" max="5" width="7.75" style="665" customWidth="1"/>
    <col min="6" max="6" width="14" style="203" customWidth="1"/>
    <col min="7" max="7" width="14.25" style="203" customWidth="1"/>
    <col min="8" max="8" width="1.58203125" style="665" customWidth="1"/>
    <col min="9" max="16384" width="10" style="665"/>
  </cols>
  <sheetData>
    <row r="1" spans="2:8" x14ac:dyDescent="0.35">
      <c r="B1" s="2117" t="str">
        <f>'2 kata'!B1</f>
        <v>Laporan Keuangan Balai Pelestarian Nilai Budaya Bali Untuk Periode yang Berakhir 31 Desember 2019</v>
      </c>
      <c r="C1" s="2117"/>
      <c r="D1" s="2117"/>
      <c r="E1" s="2117"/>
      <c r="F1" s="2117"/>
      <c r="G1" s="2117"/>
      <c r="H1" s="1323"/>
    </row>
    <row r="2" spans="2:8" ht="13.5" customHeight="1" x14ac:dyDescent="0.35"/>
    <row r="3" spans="2:8" ht="17.5" x14ac:dyDescent="0.35">
      <c r="B3" s="2126" t="s">
        <v>69</v>
      </c>
      <c r="C3" s="2126"/>
      <c r="D3" s="2126"/>
      <c r="E3" s="2126"/>
      <c r="F3" s="2126"/>
      <c r="G3" s="2126"/>
    </row>
    <row r="4" spans="2:8" ht="17.5" x14ac:dyDescent="0.35">
      <c r="B4" s="200"/>
    </row>
    <row r="5" spans="2:8" x14ac:dyDescent="0.35">
      <c r="B5" s="2150" t="str">
        <f>UPPER(Input!$M$13)</f>
        <v>BALAI PELESTARIAN NILAI BUDAYA BALI</v>
      </c>
      <c r="C5" s="2150"/>
      <c r="D5" s="2150"/>
      <c r="E5" s="2150"/>
      <c r="F5" s="2150"/>
      <c r="G5" s="2150"/>
    </row>
    <row r="6" spans="2:8" x14ac:dyDescent="0.35">
      <c r="B6" s="2151" t="s">
        <v>70</v>
      </c>
      <c r="C6" s="2151"/>
      <c r="D6" s="2151"/>
      <c r="E6" s="2151"/>
      <c r="F6" s="2151"/>
      <c r="G6" s="2151"/>
    </row>
    <row r="7" spans="2:8" x14ac:dyDescent="0.35">
      <c r="B7" s="2152" t="str">
        <f>"PER "&amp;UPPER(Input!$Q$24)&amp;" DAN "&amp;UPPER(Input!$T$25)</f>
        <v>PER 31 DESEMBER 2019 DAN 31 DESEMBER 2018</v>
      </c>
      <c r="C7" s="2152"/>
      <c r="D7" s="2152"/>
      <c r="E7" s="2152"/>
      <c r="F7" s="2152"/>
      <c r="G7" s="2152"/>
    </row>
    <row r="8" spans="2:8" x14ac:dyDescent="0.35">
      <c r="B8" s="708"/>
      <c r="C8" s="709"/>
      <c r="D8" s="709"/>
      <c r="E8" s="709"/>
      <c r="F8" s="710"/>
      <c r="G8" s="711" t="s">
        <v>58</v>
      </c>
    </row>
    <row r="9" spans="2:8" ht="23.25" customHeight="1" x14ac:dyDescent="0.35">
      <c r="B9" s="2153" t="s">
        <v>71</v>
      </c>
      <c r="C9" s="2153"/>
      <c r="D9" s="2153"/>
      <c r="E9" s="757" t="s">
        <v>72</v>
      </c>
      <c r="F9" s="569" t="str">
        <f>Input!$Q$24</f>
        <v>31 Desember 2019</v>
      </c>
      <c r="G9" s="569" t="str">
        <f>Input!$T$25</f>
        <v>31 Desember 2018</v>
      </c>
    </row>
    <row r="10" spans="2:8" ht="22.5" customHeight="1" x14ac:dyDescent="0.35">
      <c r="B10" s="714" t="s">
        <v>73</v>
      </c>
      <c r="C10" s="768"/>
      <c r="D10" s="769"/>
      <c r="E10" s="765"/>
      <c r="F10" s="758"/>
      <c r="G10" s="760"/>
    </row>
    <row r="11" spans="2:8" ht="22.5" customHeight="1" x14ac:dyDescent="0.35">
      <c r="B11" s="716" t="s">
        <v>320</v>
      </c>
      <c r="C11" s="550"/>
      <c r="D11" s="770"/>
      <c r="E11" s="766"/>
      <c r="F11" s="759"/>
      <c r="G11" s="761"/>
    </row>
    <row r="12" spans="2:8" ht="22.5" customHeight="1" x14ac:dyDescent="0.35">
      <c r="B12" s="717"/>
      <c r="C12" s="771" t="str">
        <f>Input!C651</f>
        <v>Kas di Bendahara Pengeluaran</v>
      </c>
      <c r="D12" s="772"/>
      <c r="E12" s="715" t="s">
        <v>1730</v>
      </c>
      <c r="F12" s="759">
        <f>Input!I651</f>
        <v>0</v>
      </c>
      <c r="G12" s="761">
        <f>Input!$K$651</f>
        <v>0</v>
      </c>
    </row>
    <row r="13" spans="2:8" ht="22.5" customHeight="1" x14ac:dyDescent="0.35">
      <c r="B13" s="717"/>
      <c r="C13" s="773" t="str">
        <f>Input!C652</f>
        <v>Kas di Bendahara Penerimaan</v>
      </c>
      <c r="D13" s="772"/>
      <c r="E13" s="715" t="s">
        <v>1731</v>
      </c>
      <c r="F13" s="759">
        <f>Input!$I$652</f>
        <v>0</v>
      </c>
      <c r="G13" s="761">
        <f>Input!$K$652</f>
        <v>0</v>
      </c>
    </row>
    <row r="14" spans="2:8" ht="22.5" customHeight="1" x14ac:dyDescent="0.35">
      <c r="B14" s="717"/>
      <c r="C14" s="773" t="str">
        <f>Input!C653</f>
        <v xml:space="preserve">Kas Lainnya dan Setara Kas </v>
      </c>
      <c r="D14" s="772"/>
      <c r="E14" s="715" t="s">
        <v>1732</v>
      </c>
      <c r="F14" s="759">
        <f>Input!$I$653</f>
        <v>0</v>
      </c>
      <c r="G14" s="761">
        <f>Input!$K$653</f>
        <v>0</v>
      </c>
    </row>
    <row r="15" spans="2:8" ht="22.5" customHeight="1" x14ac:dyDescent="0.35">
      <c r="B15" s="717"/>
      <c r="C15" s="773" t="str">
        <f>Input!C665</f>
        <v>Piutang PNBP</v>
      </c>
      <c r="D15" s="772"/>
      <c r="E15" s="715" t="s">
        <v>1733</v>
      </c>
      <c r="F15" s="759">
        <f>Input!$I$665</f>
        <v>0</v>
      </c>
      <c r="G15" s="761">
        <f>Input!$K$665</f>
        <v>0</v>
      </c>
    </row>
    <row r="16" spans="2:8" ht="22.5" customHeight="1" x14ac:dyDescent="0.35">
      <c r="B16" s="717"/>
      <c r="C16" s="773" t="str">
        <f>Input!C666</f>
        <v>Bagian Lancar TP/TGR</v>
      </c>
      <c r="D16" s="772"/>
      <c r="E16" s="715" t="s">
        <v>1734</v>
      </c>
      <c r="F16" s="759">
        <f>Input!$I$666</f>
        <v>0</v>
      </c>
      <c r="G16" s="761">
        <f>Input!$K$666</f>
        <v>0</v>
      </c>
    </row>
    <row r="17" spans="2:7" ht="22.5" customHeight="1" x14ac:dyDescent="0.35">
      <c r="B17" s="717"/>
      <c r="C17" s="773" t="str">
        <f>Input!C667</f>
        <v>Bagian Lancar Tagihan Penjualan Angsuran</v>
      </c>
      <c r="D17" s="772"/>
      <c r="E17" s="715" t="s">
        <v>1735</v>
      </c>
      <c r="F17" s="759">
        <f>Input!$I$667</f>
        <v>0</v>
      </c>
      <c r="G17" s="761">
        <f>Input!$K$667</f>
        <v>0</v>
      </c>
    </row>
    <row r="18" spans="2:7" ht="22.5" customHeight="1" x14ac:dyDescent="0.35">
      <c r="B18" s="717"/>
      <c r="C18" s="773" t="str">
        <f>Input!C668</f>
        <v>Penyisihan Piutang Tak Tertagih-Piutang Lancar</v>
      </c>
      <c r="D18" s="772"/>
      <c r="E18" s="715" t="s">
        <v>1736</v>
      </c>
      <c r="F18" s="759">
        <f>Input!$I$668</f>
        <v>0</v>
      </c>
      <c r="G18" s="761">
        <f>Input!$K$668</f>
        <v>0</v>
      </c>
    </row>
    <row r="19" spans="2:7" ht="22.5" customHeight="1" x14ac:dyDescent="0.35">
      <c r="B19" s="717"/>
      <c r="C19" s="773" t="str">
        <f>Input!C669</f>
        <v>Belanja Dibayar di Muka</v>
      </c>
      <c r="D19" s="772"/>
      <c r="E19" s="715" t="s">
        <v>1737</v>
      </c>
      <c r="F19" s="759">
        <f>Input!$I$669</f>
        <v>0</v>
      </c>
      <c r="G19" s="761">
        <f>Input!$K$669</f>
        <v>0</v>
      </c>
    </row>
    <row r="20" spans="2:7" ht="22.5" customHeight="1" x14ac:dyDescent="0.35">
      <c r="B20" s="717"/>
      <c r="C20" s="773" t="str">
        <f>Input!C670</f>
        <v>Pendapatan yang Masih Harus Diterima</v>
      </c>
      <c r="D20" s="772"/>
      <c r="E20" s="715" t="s">
        <v>1738</v>
      </c>
      <c r="F20" s="759">
        <f>Input!$I$670</f>
        <v>0</v>
      </c>
      <c r="G20" s="761">
        <f>Input!$K$670</f>
        <v>0</v>
      </c>
    </row>
    <row r="21" spans="2:7" ht="22.5" customHeight="1" x14ac:dyDescent="0.35">
      <c r="B21" s="717"/>
      <c r="C21" s="773" t="str">
        <f>Input!C671</f>
        <v>Persediaan</v>
      </c>
      <c r="D21" s="772"/>
      <c r="E21" s="715" t="s">
        <v>1879</v>
      </c>
      <c r="F21" s="763">
        <f>Input!$I$671</f>
        <v>6258600</v>
      </c>
      <c r="G21" s="761">
        <f>Input!$K$671</f>
        <v>365000</v>
      </c>
    </row>
    <row r="22" spans="2:7" ht="22.5" customHeight="1" x14ac:dyDescent="0.35">
      <c r="B22" s="717"/>
      <c r="C22" s="774" t="s">
        <v>78</v>
      </c>
      <c r="D22" s="772"/>
      <c r="E22" s="715"/>
      <c r="F22" s="764">
        <f>SUM(F12:F21)</f>
        <v>6258600</v>
      </c>
      <c r="G22" s="762">
        <f>SUM(G12:G21)</f>
        <v>365000</v>
      </c>
    </row>
    <row r="23" spans="2:7" ht="22.5" customHeight="1" x14ac:dyDescent="0.35">
      <c r="B23" s="717"/>
      <c r="C23" s="773"/>
      <c r="D23" s="772"/>
      <c r="E23" s="715"/>
      <c r="F23" s="759"/>
      <c r="G23" s="570"/>
    </row>
    <row r="24" spans="2:7" ht="22.5" customHeight="1" x14ac:dyDescent="0.35">
      <c r="B24" s="716" t="s">
        <v>930</v>
      </c>
      <c r="C24" s="551"/>
      <c r="D24" s="772"/>
      <c r="E24" s="715"/>
      <c r="F24" s="759"/>
      <c r="G24" s="570"/>
    </row>
    <row r="25" spans="2:7" ht="22.5" customHeight="1" x14ac:dyDescent="0.35">
      <c r="B25" s="717"/>
      <c r="C25" s="2154" t="str">
        <f>Input!C691</f>
        <v>Tagihan TP/TGR</v>
      </c>
      <c r="D25" s="2155"/>
      <c r="E25" s="715" t="s">
        <v>1878</v>
      </c>
      <c r="F25" s="759">
        <f>Input!I691</f>
        <v>0</v>
      </c>
      <c r="G25" s="570">
        <f>Input!K691</f>
        <v>0</v>
      </c>
    </row>
    <row r="26" spans="2:7" ht="22.5" customHeight="1" x14ac:dyDescent="0.35">
      <c r="B26" s="717"/>
      <c r="C26" s="2154" t="str">
        <f>Input!C692</f>
        <v>Tagihan Penjualan Angsuran</v>
      </c>
      <c r="D26" s="2155"/>
      <c r="E26" s="715" t="s">
        <v>1742</v>
      </c>
      <c r="F26" s="759">
        <f>-Input!I692</f>
        <v>0</v>
      </c>
      <c r="G26" s="570">
        <f>Input!K692</f>
        <v>0</v>
      </c>
    </row>
    <row r="27" spans="2:7" ht="22.5" customHeight="1" x14ac:dyDescent="0.35">
      <c r="B27" s="717"/>
      <c r="C27" s="2154" t="str">
        <f>Input!C693</f>
        <v>Penyisihan Piutang Tak Tertagih-Piutang Jangka Panjang</v>
      </c>
      <c r="D27" s="2155"/>
      <c r="E27" s="715" t="s">
        <v>1743</v>
      </c>
      <c r="F27" s="759">
        <f>Input!I693</f>
        <v>0</v>
      </c>
      <c r="G27" s="570">
        <f>Input!K693</f>
        <v>0</v>
      </c>
    </row>
    <row r="28" spans="2:7" ht="22.5" customHeight="1" x14ac:dyDescent="0.35">
      <c r="B28" s="717"/>
      <c r="C28" s="2156" t="s">
        <v>1741</v>
      </c>
      <c r="D28" s="2157"/>
      <c r="E28" s="715"/>
      <c r="F28" s="764">
        <f>SUM(F25:F27)</f>
        <v>0</v>
      </c>
      <c r="G28" s="762">
        <f>SUM(G25:G27)</f>
        <v>0</v>
      </c>
    </row>
    <row r="29" spans="2:7" ht="22.5" customHeight="1" x14ac:dyDescent="0.35">
      <c r="B29" s="717"/>
      <c r="C29" s="551"/>
      <c r="D29" s="775"/>
      <c r="E29" s="715"/>
      <c r="F29" s="759"/>
      <c r="G29" s="570"/>
    </row>
    <row r="30" spans="2:7" ht="22.5" customHeight="1" x14ac:dyDescent="0.35">
      <c r="B30" s="716" t="s">
        <v>338</v>
      </c>
      <c r="C30" s="550"/>
      <c r="D30" s="770"/>
      <c r="E30" s="766"/>
      <c r="F30" s="759"/>
      <c r="G30" s="570"/>
    </row>
    <row r="31" spans="2:7" ht="22.5" customHeight="1" x14ac:dyDescent="0.35">
      <c r="B31" s="717"/>
      <c r="C31" s="551" t="str">
        <f>Input!$C$680</f>
        <v>Tanah</v>
      </c>
      <c r="D31" s="772"/>
      <c r="E31" s="715" t="s">
        <v>1745</v>
      </c>
      <c r="F31" s="759">
        <f>Input!I680</f>
        <v>15750000000</v>
      </c>
      <c r="G31" s="570">
        <f>Input!$K$680</f>
        <v>15750000000</v>
      </c>
    </row>
    <row r="32" spans="2:7" ht="22.5" customHeight="1" x14ac:dyDescent="0.35">
      <c r="B32" s="717"/>
      <c r="C32" s="551" t="str">
        <f>Input!$C$681</f>
        <v>Peralatan dan Mesin</v>
      </c>
      <c r="D32" s="772"/>
      <c r="E32" s="715" t="s">
        <v>1746</v>
      </c>
      <c r="F32" s="759">
        <f>Input!I681</f>
        <v>5985434940</v>
      </c>
      <c r="G32" s="570">
        <f>Input!$K$681</f>
        <v>5055343940</v>
      </c>
    </row>
    <row r="33" spans="2:7" ht="22.5" customHeight="1" x14ac:dyDescent="0.35">
      <c r="B33" s="717"/>
      <c r="C33" s="551" t="str">
        <f>Input!$C$682</f>
        <v>Gedung dan Bangunan</v>
      </c>
      <c r="D33" s="772"/>
      <c r="E33" s="715" t="s">
        <v>1747</v>
      </c>
      <c r="F33" s="759">
        <f>Input!I682</f>
        <v>6311976199</v>
      </c>
      <c r="G33" s="570">
        <f>Input!$K$682</f>
        <v>5775313149</v>
      </c>
    </row>
    <row r="34" spans="2:7" ht="22.5" customHeight="1" x14ac:dyDescent="0.35">
      <c r="B34" s="717"/>
      <c r="C34" s="551" t="str">
        <f>Input!$C$683</f>
        <v>Jalan, Irigasi, dan Jaringan</v>
      </c>
      <c r="D34" s="772"/>
      <c r="E34" s="715" t="s">
        <v>1748</v>
      </c>
      <c r="F34" s="759">
        <f>Input!I683</f>
        <v>29536650</v>
      </c>
      <c r="G34" s="570">
        <f>Input!$K$683</f>
        <v>29536650</v>
      </c>
    </row>
    <row r="35" spans="2:7" ht="22.5" customHeight="1" x14ac:dyDescent="0.35">
      <c r="B35" s="717"/>
      <c r="C35" s="551" t="str">
        <f>Input!$C$684</f>
        <v>Aset Tetap Lainnya</v>
      </c>
      <c r="D35" s="772"/>
      <c r="E35" s="715" t="s">
        <v>1749</v>
      </c>
      <c r="F35" s="759">
        <f>Input!I684</f>
        <v>339285000</v>
      </c>
      <c r="G35" s="570">
        <f>Input!$K$684</f>
        <v>335909500</v>
      </c>
    </row>
    <row r="36" spans="2:7" ht="22.5" customHeight="1" x14ac:dyDescent="0.35">
      <c r="B36" s="717"/>
      <c r="C36" s="551" t="str">
        <f>Input!$C$685</f>
        <v>Konstruksi dalam Pengerjaan</v>
      </c>
      <c r="D36" s="772"/>
      <c r="E36" s="715" t="s">
        <v>1750</v>
      </c>
      <c r="F36" s="759">
        <f>Input!I685</f>
        <v>0</v>
      </c>
      <c r="G36" s="570">
        <f>Input!$K$685</f>
        <v>0</v>
      </c>
    </row>
    <row r="37" spans="2:7" ht="22.5" customHeight="1" x14ac:dyDescent="0.35">
      <c r="B37" s="717"/>
      <c r="C37" s="551" t="str">
        <f>Input!$C$686</f>
        <v xml:space="preserve">Akumulasi Penyusutan Aset Tetap </v>
      </c>
      <c r="D37" s="772"/>
      <c r="E37" s="715" t="s">
        <v>1751</v>
      </c>
      <c r="F37" s="759">
        <f>Input!I686</f>
        <v>-4656390209</v>
      </c>
      <c r="G37" s="570">
        <f>Input!$K$686</f>
        <v>-3757424451</v>
      </c>
    </row>
    <row r="38" spans="2:7" ht="22.5" customHeight="1" x14ac:dyDescent="0.35">
      <c r="B38" s="776"/>
      <c r="C38" s="550" t="s">
        <v>83</v>
      </c>
      <c r="D38" s="770"/>
      <c r="E38" s="715"/>
      <c r="F38" s="780">
        <f>SUM(F31:F37)</f>
        <v>23759842580</v>
      </c>
      <c r="G38" s="781">
        <f>SUM(G31:G37)</f>
        <v>23188678788</v>
      </c>
    </row>
    <row r="39" spans="2:7" ht="22.5" customHeight="1" x14ac:dyDescent="0.35">
      <c r="B39" s="2165"/>
      <c r="C39" s="2166"/>
      <c r="D39" s="2167"/>
      <c r="E39" s="715"/>
      <c r="F39" s="778"/>
      <c r="G39" s="779"/>
    </row>
    <row r="40" spans="2:7" ht="22.5" customHeight="1" x14ac:dyDescent="0.35">
      <c r="B40" s="716" t="s">
        <v>342</v>
      </c>
      <c r="C40" s="550"/>
      <c r="D40" s="770"/>
      <c r="E40" s="766"/>
      <c r="F40" s="759"/>
      <c r="G40" s="570"/>
    </row>
    <row r="41" spans="2:7" ht="22.5" customHeight="1" x14ac:dyDescent="0.35">
      <c r="B41" s="716"/>
      <c r="C41" s="551" t="str">
        <f>Input!C697</f>
        <v>Aset Tak Berwujud</v>
      </c>
      <c r="D41" s="772"/>
      <c r="E41" s="715" t="s">
        <v>1753</v>
      </c>
      <c r="F41" s="759">
        <f>Input!I697</f>
        <v>0</v>
      </c>
      <c r="G41" s="570">
        <f>Input!$K$697</f>
        <v>0</v>
      </c>
    </row>
    <row r="42" spans="2:7" ht="22.5" customHeight="1" x14ac:dyDescent="0.35">
      <c r="B42" s="716"/>
      <c r="C42" s="551" t="str">
        <f>Input!C698</f>
        <v>Aset Lain-lain</v>
      </c>
      <c r="D42" s="772"/>
      <c r="E42" s="715" t="s">
        <v>1754</v>
      </c>
      <c r="F42" s="759">
        <f>Input!$I$698</f>
        <v>79907000</v>
      </c>
      <c r="G42" s="570">
        <f>Input!$K$698</f>
        <v>79907000</v>
      </c>
    </row>
    <row r="43" spans="2:7" ht="22.5" customHeight="1" x14ac:dyDescent="0.35">
      <c r="B43" s="717"/>
      <c r="C43" s="2154" t="str">
        <f>Input!C699</f>
        <v>Akumulasi Penyusutan dan Amortisasi Aset Lainnya</v>
      </c>
      <c r="D43" s="2155"/>
      <c r="E43" s="715" t="s">
        <v>1903</v>
      </c>
      <c r="F43" s="759">
        <f>Input!$I$699</f>
        <v>-79907000</v>
      </c>
      <c r="G43" s="570">
        <f>Input!$K$699</f>
        <v>-79907000</v>
      </c>
    </row>
    <row r="44" spans="2:7" ht="22.5" customHeight="1" x14ac:dyDescent="0.35">
      <c r="B44" s="776"/>
      <c r="C44" s="550" t="s">
        <v>85</v>
      </c>
      <c r="D44" s="770"/>
      <c r="E44" s="715"/>
      <c r="F44" s="780">
        <f>SUM(F41:F43)</f>
        <v>0</v>
      </c>
      <c r="G44" s="781">
        <f>SUM(G41:G43)</f>
        <v>0</v>
      </c>
    </row>
    <row r="45" spans="2:7" ht="22.5" customHeight="1" x14ac:dyDescent="0.35">
      <c r="B45" s="2162" t="s">
        <v>86</v>
      </c>
      <c r="C45" s="2163"/>
      <c r="D45" s="2164"/>
      <c r="E45" s="767"/>
      <c r="F45" s="782">
        <f>F22+F28+F38+F44</f>
        <v>23766101180</v>
      </c>
      <c r="G45" s="783">
        <f>G22+G28+G38+G44</f>
        <v>23189043788</v>
      </c>
    </row>
    <row r="46" spans="2:7" ht="22.5" customHeight="1" x14ac:dyDescent="0.35">
      <c r="B46" s="716" t="s">
        <v>87</v>
      </c>
      <c r="C46" s="550"/>
      <c r="D46" s="770"/>
      <c r="E46" s="715"/>
      <c r="F46" s="759"/>
      <c r="G46" s="570"/>
    </row>
    <row r="47" spans="2:7" ht="22.5" customHeight="1" x14ac:dyDescent="0.35">
      <c r="B47" s="716" t="s">
        <v>345</v>
      </c>
      <c r="C47" s="550"/>
      <c r="D47" s="770"/>
      <c r="E47" s="766"/>
      <c r="F47" s="759"/>
      <c r="G47" s="570"/>
    </row>
    <row r="48" spans="2:7" ht="22.5" customHeight="1" x14ac:dyDescent="0.35">
      <c r="B48" s="717"/>
      <c r="C48" s="551"/>
      <c r="D48" s="772" t="str">
        <f>Input!C706</f>
        <v>Uang Muka dari KPPN</v>
      </c>
      <c r="E48" s="715" t="s">
        <v>1904</v>
      </c>
      <c r="F48" s="759">
        <f>Input!I706</f>
        <v>0</v>
      </c>
      <c r="G48" s="570">
        <f>Input!K706</f>
        <v>0</v>
      </c>
    </row>
    <row r="49" spans="2:7" ht="22.5" customHeight="1" x14ac:dyDescent="0.35">
      <c r="B49" s="717"/>
      <c r="C49" s="551"/>
      <c r="D49" s="772" t="str">
        <f>Input!C707</f>
        <v>Utang kepada Pihak Ketiga</v>
      </c>
      <c r="E49" s="715" t="s">
        <v>1905</v>
      </c>
      <c r="F49" s="759">
        <f>Input!I707</f>
        <v>0</v>
      </c>
      <c r="G49" s="570">
        <f>Input!K707</f>
        <v>0</v>
      </c>
    </row>
    <row r="50" spans="2:7" ht="22.5" customHeight="1" x14ac:dyDescent="0.35">
      <c r="B50" s="717"/>
      <c r="C50" s="551"/>
      <c r="D50" s="772" t="str">
        <f>Input!C710</f>
        <v>Pendapatan Diterima Di Muka</v>
      </c>
      <c r="E50" s="715" t="s">
        <v>1906</v>
      </c>
      <c r="F50" s="759">
        <f>Input!I710</f>
        <v>0</v>
      </c>
      <c r="G50" s="570">
        <f>Input!K710</f>
        <v>0</v>
      </c>
    </row>
    <row r="51" spans="2:7" ht="22.5" customHeight="1" x14ac:dyDescent="0.35">
      <c r="B51" s="717"/>
      <c r="C51" s="551"/>
      <c r="D51" s="772" t="str">
        <f>Input!C711</f>
        <v>Beban yang Masih Harus Dibayar</v>
      </c>
      <c r="E51" s="715" t="s">
        <v>1907</v>
      </c>
      <c r="F51" s="759">
        <f>Input!I711</f>
        <v>0</v>
      </c>
      <c r="G51" s="570">
        <f>Input!K711</f>
        <v>0</v>
      </c>
    </row>
    <row r="52" spans="2:7" ht="22.5" customHeight="1" x14ac:dyDescent="0.35">
      <c r="B52" s="717"/>
      <c r="C52" s="551"/>
      <c r="D52" s="1324" t="s">
        <v>89</v>
      </c>
      <c r="E52" s="715"/>
      <c r="F52" s="780">
        <f>SUM(F48:F51)</f>
        <v>0</v>
      </c>
      <c r="G52" s="781">
        <f>SUM(G48:G51)</f>
        <v>0</v>
      </c>
    </row>
    <row r="53" spans="2:7" ht="22.5" customHeight="1" x14ac:dyDescent="0.35">
      <c r="B53" s="2161" t="s">
        <v>90</v>
      </c>
      <c r="C53" s="2156"/>
      <c r="D53" s="2157"/>
      <c r="E53" s="715"/>
      <c r="F53" s="784">
        <f>F52</f>
        <v>0</v>
      </c>
      <c r="G53" s="785">
        <f>G52</f>
        <v>0</v>
      </c>
    </row>
    <row r="54" spans="2:7" ht="22.5" customHeight="1" x14ac:dyDescent="0.35">
      <c r="B54" s="716" t="s">
        <v>123</v>
      </c>
      <c r="C54" s="550"/>
      <c r="D54" s="770"/>
      <c r="E54" s="715"/>
      <c r="F54" s="759"/>
      <c r="G54" s="570"/>
    </row>
    <row r="55" spans="2:7" ht="22.5" customHeight="1" x14ac:dyDescent="0.35">
      <c r="B55" s="716"/>
      <c r="C55" s="550"/>
      <c r="D55" s="772" t="s">
        <v>1676</v>
      </c>
      <c r="E55" s="715" t="s">
        <v>1910</v>
      </c>
      <c r="F55" s="759">
        <f>Input!I718</f>
        <v>23766101180</v>
      </c>
      <c r="G55" s="570">
        <f>Input!K718</f>
        <v>23189043788</v>
      </c>
    </row>
    <row r="56" spans="2:7" ht="22.5" customHeight="1" x14ac:dyDescent="0.35">
      <c r="B56" s="716"/>
      <c r="C56" s="550"/>
      <c r="D56" s="770" t="s">
        <v>2200</v>
      </c>
      <c r="E56" s="715"/>
      <c r="F56" s="781">
        <f>SUM(F55)</f>
        <v>23766101180</v>
      </c>
      <c r="G56" s="781">
        <f>SUM(G55)</f>
        <v>23189043788</v>
      </c>
    </row>
    <row r="57" spans="2:7" ht="22.5" customHeight="1" thickBot="1" x14ac:dyDescent="0.4">
      <c r="B57" s="2158" t="s">
        <v>92</v>
      </c>
      <c r="C57" s="2159"/>
      <c r="D57" s="2160"/>
      <c r="E57" s="718"/>
      <c r="F57" s="786">
        <f>F53+F56</f>
        <v>23766101180</v>
      </c>
      <c r="G57" s="786">
        <f>G53+G56</f>
        <v>23189043788</v>
      </c>
    </row>
    <row r="58" spans="2:7" ht="13.5" customHeight="1" thickTop="1" x14ac:dyDescent="0.35">
      <c r="B58" s="204"/>
      <c r="C58" s="204"/>
      <c r="D58" s="204"/>
      <c r="E58" s="204"/>
      <c r="F58" s="205"/>
      <c r="G58" s="205"/>
    </row>
  </sheetData>
  <mergeCells count="15">
    <mergeCell ref="B9:D9"/>
    <mergeCell ref="B1:G1"/>
    <mergeCell ref="B3:G3"/>
    <mergeCell ref="B5:G5"/>
    <mergeCell ref="B6:G6"/>
    <mergeCell ref="B7:G7"/>
    <mergeCell ref="B45:D45"/>
    <mergeCell ref="B53:D53"/>
    <mergeCell ref="B57:D57"/>
    <mergeCell ref="C25:D25"/>
    <mergeCell ref="C26:D26"/>
    <mergeCell ref="C27:D27"/>
    <mergeCell ref="C28:D28"/>
    <mergeCell ref="B39:D39"/>
    <mergeCell ref="C43:D43"/>
  </mergeCells>
  <printOptions horizontalCentered="1"/>
  <pageMargins left="0.31496062992125984" right="0.23622047244094491" top="0.74803149606299213" bottom="0.86614173228346458" header="0.31496062992125984" footer="0.31496062992125984"/>
  <pageSetup paperSize="9" firstPageNumber="4" fitToHeight="0" orientation="portrait" useFirstPageNumber="1" horizontalDpi="4294967294" r:id="rId1"/>
  <headerFooter>
    <oddFooter>&amp;C&amp;"+,Bold Italic"&amp;K000099&amp;P</oddFooter>
  </headerFooter>
  <rowBreaks count="1" manualBreakCount="1">
    <brk id="34"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53"/>
  <sheetViews>
    <sheetView view="pageBreakPreview" zoomScaleSheetLayoutView="100" workbookViewId="0">
      <selection activeCell="B1" sqref="B1:I1"/>
    </sheetView>
  </sheetViews>
  <sheetFormatPr defaultRowHeight="15.5" x14ac:dyDescent="0.35"/>
  <cols>
    <col min="1" max="1" width="1.08203125" style="468" customWidth="1"/>
    <col min="2" max="4" width="2.25" style="317" customWidth="1"/>
    <col min="5" max="5" width="3.08203125" style="317" customWidth="1"/>
    <col min="6" max="6" width="35.75" style="317" customWidth="1"/>
    <col min="7" max="7" width="8.75" style="317" customWidth="1"/>
    <col min="8" max="9" width="13.5" style="203" bestFit="1" customWidth="1"/>
    <col min="10" max="10" width="1.5" customWidth="1"/>
    <col min="11" max="11" width="13.08203125" bestFit="1" customWidth="1"/>
  </cols>
  <sheetData>
    <row r="1" spans="1:9" x14ac:dyDescent="0.35">
      <c r="A1" s="323"/>
      <c r="B1" s="2117" t="str">
        <f>'2 kata'!B1</f>
        <v>Laporan Keuangan Balai Pelestarian Nilai Budaya Bali Untuk Periode yang Berakhir 31 Desember 2019</v>
      </c>
      <c r="C1" s="2117"/>
      <c r="D1" s="2117"/>
      <c r="E1" s="2117"/>
      <c r="F1" s="2117"/>
      <c r="G1" s="2117"/>
      <c r="H1" s="2117"/>
      <c r="I1" s="2117"/>
    </row>
    <row r="2" spans="1:9" x14ac:dyDescent="0.35">
      <c r="A2" s="323"/>
    </row>
    <row r="3" spans="1:9" ht="17.5" x14ac:dyDescent="0.35">
      <c r="A3" s="323"/>
      <c r="B3" s="2126" t="s">
        <v>1220</v>
      </c>
      <c r="C3" s="2126"/>
      <c r="D3" s="2126"/>
      <c r="E3" s="2126"/>
      <c r="F3" s="2126"/>
      <c r="G3" s="2126"/>
      <c r="H3" s="2126"/>
      <c r="I3" s="2126"/>
    </row>
    <row r="4" spans="1:9" ht="17.5" x14ac:dyDescent="0.35">
      <c r="A4" s="323"/>
      <c r="B4" s="200"/>
      <c r="C4" s="200"/>
      <c r="D4" s="200"/>
    </row>
    <row r="5" spans="1:9" x14ac:dyDescent="0.35">
      <c r="A5" s="323"/>
      <c r="B5" s="2150" t="str">
        <f>UPPER(Input!$M$13)</f>
        <v>BALAI PELESTARIAN NILAI BUDAYA BALI</v>
      </c>
      <c r="C5" s="2150"/>
      <c r="D5" s="2150"/>
      <c r="E5" s="2150"/>
      <c r="F5" s="2150"/>
      <c r="G5" s="2150"/>
      <c r="H5" s="2150"/>
      <c r="I5" s="2150"/>
    </row>
    <row r="6" spans="1:9" x14ac:dyDescent="0.35">
      <c r="A6" s="323"/>
      <c r="B6" s="2151" t="s">
        <v>1221</v>
      </c>
      <c r="C6" s="2151"/>
      <c r="D6" s="2151"/>
      <c r="E6" s="2151"/>
      <c r="F6" s="2151"/>
      <c r="G6" s="2151"/>
      <c r="H6" s="2151"/>
      <c r="I6" s="2151"/>
    </row>
    <row r="7" spans="1:9" x14ac:dyDescent="0.35">
      <c r="A7" s="323"/>
      <c r="B7" s="2152" t="str">
        <f>"UNTUK PERIODE YANG BERAKHIR "&amp;UPPER(Input!$Q$24)&amp;" DAN "&amp;UPPER(Input!$M$25)</f>
        <v>UNTUK PERIODE YANG BERAKHIR 31 DESEMBER 2019 DAN 31 DESEMBER 2018</v>
      </c>
      <c r="C7" s="2152"/>
      <c r="D7" s="2152"/>
      <c r="E7" s="2152"/>
      <c r="F7" s="2152"/>
      <c r="G7" s="2152"/>
      <c r="H7" s="2152"/>
      <c r="I7" s="2152"/>
    </row>
    <row r="8" spans="1:9" x14ac:dyDescent="0.35">
      <c r="A8" s="323"/>
      <c r="B8" s="708"/>
      <c r="C8" s="708"/>
      <c r="D8" s="708"/>
      <c r="E8" s="709"/>
      <c r="F8" s="709"/>
      <c r="G8" s="709"/>
      <c r="H8" s="710"/>
      <c r="I8" s="711" t="s">
        <v>58</v>
      </c>
    </row>
    <row r="9" spans="1:9" ht="19.5" customHeight="1" x14ac:dyDescent="0.35">
      <c r="A9" s="323"/>
      <c r="B9" s="2169" t="s">
        <v>264</v>
      </c>
      <c r="C9" s="2170"/>
      <c r="D9" s="2170"/>
      <c r="E9" s="2170"/>
      <c r="F9" s="2170"/>
      <c r="G9" s="552" t="s">
        <v>72</v>
      </c>
      <c r="H9" s="553" t="str">
        <f>Input!$Y$24</f>
        <v>2019</v>
      </c>
      <c r="I9" s="554" t="str">
        <f>Input!$Y$25</f>
        <v>2018</v>
      </c>
    </row>
    <row r="10" spans="1:9" ht="21" customHeight="1" x14ac:dyDescent="0.35">
      <c r="A10" s="323"/>
      <c r="B10" s="555" t="s">
        <v>1222</v>
      </c>
      <c r="C10" s="547"/>
      <c r="D10" s="547"/>
      <c r="E10" s="547"/>
      <c r="F10" s="547"/>
      <c r="G10" s="556"/>
      <c r="H10" s="572"/>
      <c r="I10" s="573"/>
    </row>
    <row r="11" spans="1:9" ht="21" customHeight="1" x14ac:dyDescent="0.35">
      <c r="A11" s="323"/>
      <c r="B11" s="555"/>
      <c r="C11" s="547" t="s">
        <v>60</v>
      </c>
      <c r="D11" s="547"/>
      <c r="E11" s="547"/>
      <c r="F11" s="547"/>
      <c r="G11" s="561"/>
      <c r="H11" s="574"/>
      <c r="I11" s="573"/>
    </row>
    <row r="12" spans="1:9" ht="21" customHeight="1" x14ac:dyDescent="0.35">
      <c r="A12" s="323"/>
      <c r="B12" s="557"/>
      <c r="C12" s="548"/>
      <c r="D12" s="548"/>
      <c r="E12" s="548" t="s">
        <v>62</v>
      </c>
      <c r="F12" s="548"/>
      <c r="G12" s="556" t="s">
        <v>1913</v>
      </c>
      <c r="H12" s="574">
        <f>Input!$L$759</f>
        <v>0</v>
      </c>
      <c r="I12" s="573">
        <f>Input!M759</f>
        <v>900000</v>
      </c>
    </row>
    <row r="13" spans="1:9" ht="21" customHeight="1" x14ac:dyDescent="0.35">
      <c r="A13" s="323"/>
      <c r="B13" s="557"/>
      <c r="C13" s="548"/>
      <c r="D13" s="548"/>
      <c r="E13" s="548"/>
      <c r="F13" s="547" t="s">
        <v>2225</v>
      </c>
      <c r="G13" s="556"/>
      <c r="H13" s="575">
        <f>SUM(H12:H12)</f>
        <v>0</v>
      </c>
      <c r="I13" s="576">
        <f>SUM(I12:I12)</f>
        <v>900000</v>
      </c>
    </row>
    <row r="14" spans="1:9" ht="21" customHeight="1" x14ac:dyDescent="0.35">
      <c r="A14" s="323"/>
      <c r="B14" s="557"/>
      <c r="C14" s="548"/>
      <c r="D14" s="547" t="s">
        <v>1236</v>
      </c>
      <c r="E14" s="548"/>
      <c r="F14" s="548"/>
      <c r="G14" s="556"/>
      <c r="H14" s="574"/>
      <c r="I14" s="573"/>
    </row>
    <row r="15" spans="1:9" ht="21" customHeight="1" x14ac:dyDescent="0.35">
      <c r="A15" s="323"/>
      <c r="B15" s="557"/>
      <c r="C15" s="548"/>
      <c r="D15" s="548"/>
      <c r="E15" s="548" t="s">
        <v>251</v>
      </c>
      <c r="F15" s="548"/>
      <c r="G15" s="556"/>
      <c r="H15" s="574">
        <f>Input!$L$762</f>
        <v>0</v>
      </c>
      <c r="I15" s="573">
        <f>Input!M762</f>
        <v>0</v>
      </c>
    </row>
    <row r="16" spans="1:9" ht="21" customHeight="1" x14ac:dyDescent="0.35">
      <c r="A16" s="323"/>
      <c r="B16" s="557"/>
      <c r="C16" s="548"/>
      <c r="D16" s="548"/>
      <c r="E16" s="548"/>
      <c r="F16" s="547" t="s">
        <v>1237</v>
      </c>
      <c r="G16" s="556"/>
      <c r="H16" s="575">
        <f>SUM(H15)</f>
        <v>0</v>
      </c>
      <c r="I16" s="576">
        <f>SUM(I15)</f>
        <v>0</v>
      </c>
    </row>
    <row r="17" spans="1:11" s="316" customFormat="1" ht="21" customHeight="1" x14ac:dyDescent="0.35">
      <c r="A17" s="323"/>
      <c r="B17" s="557"/>
      <c r="C17" s="548"/>
      <c r="D17" s="548"/>
      <c r="E17" s="548"/>
      <c r="F17" s="547" t="s">
        <v>1893</v>
      </c>
      <c r="G17" s="556"/>
      <c r="H17" s="577">
        <f>+H13+H16</f>
        <v>0</v>
      </c>
      <c r="I17" s="578">
        <f>+I13+I16</f>
        <v>900000</v>
      </c>
    </row>
    <row r="18" spans="1:11" ht="21" customHeight="1" x14ac:dyDescent="0.35">
      <c r="A18" s="323"/>
      <c r="B18" s="557"/>
      <c r="C18" s="547" t="s">
        <v>1238</v>
      </c>
      <c r="D18" s="548"/>
      <c r="E18" s="548"/>
      <c r="F18" s="548"/>
      <c r="G18" s="556"/>
      <c r="H18" s="574"/>
      <c r="I18" s="573"/>
    </row>
    <row r="19" spans="1:11" ht="21" customHeight="1" x14ac:dyDescent="0.35">
      <c r="A19" s="323"/>
      <c r="B19" s="557"/>
      <c r="C19" s="548"/>
      <c r="D19" s="548"/>
      <c r="E19" s="548" t="s">
        <v>1239</v>
      </c>
      <c r="F19" s="548"/>
      <c r="G19" s="556" t="s">
        <v>1914</v>
      </c>
      <c r="H19" s="574">
        <f>Input!$L$766</f>
        <v>3316366778</v>
      </c>
      <c r="I19" s="573">
        <f>Input!M766</f>
        <v>3415029601</v>
      </c>
    </row>
    <row r="20" spans="1:11" ht="21" customHeight="1" x14ac:dyDescent="0.35">
      <c r="A20" s="323"/>
      <c r="B20" s="557"/>
      <c r="C20" s="548"/>
      <c r="D20" s="548"/>
      <c r="E20" s="560" t="s">
        <v>1240</v>
      </c>
      <c r="F20" s="548"/>
      <c r="G20" s="556" t="s">
        <v>1915</v>
      </c>
      <c r="H20" s="574">
        <f>Input!$L$767</f>
        <v>45186900</v>
      </c>
      <c r="I20" s="573">
        <f>Input!M767</f>
        <v>37104560</v>
      </c>
    </row>
    <row r="21" spans="1:11" ht="21" customHeight="1" x14ac:dyDescent="0.35">
      <c r="A21" s="323"/>
      <c r="B21" s="557"/>
      <c r="C21" s="548"/>
      <c r="D21" s="548"/>
      <c r="E21" s="560" t="s">
        <v>1916</v>
      </c>
      <c r="F21" s="548"/>
      <c r="G21" s="556" t="s">
        <v>1918</v>
      </c>
      <c r="H21" s="574">
        <f>Input!$L$768</f>
        <v>2632684595</v>
      </c>
      <c r="I21" s="573">
        <f>Input!M768</f>
        <v>2935678600</v>
      </c>
    </row>
    <row r="22" spans="1:11" ht="21" customHeight="1" x14ac:dyDescent="0.35">
      <c r="A22" s="323"/>
      <c r="B22" s="557"/>
      <c r="C22" s="548"/>
      <c r="D22" s="548"/>
      <c r="E22" s="560" t="s">
        <v>1917</v>
      </c>
      <c r="F22" s="548"/>
      <c r="G22" s="556" t="s">
        <v>1919</v>
      </c>
      <c r="H22" s="574">
        <f>Input!$L$769</f>
        <v>629003150</v>
      </c>
      <c r="I22" s="573">
        <f>Input!M769</f>
        <v>730887140</v>
      </c>
    </row>
    <row r="23" spans="1:11" ht="21" customHeight="1" x14ac:dyDescent="0.35">
      <c r="A23" s="323"/>
      <c r="B23" s="557"/>
      <c r="C23" s="548"/>
      <c r="D23" s="548"/>
      <c r="E23" s="560" t="s">
        <v>1242</v>
      </c>
      <c r="F23" s="548"/>
      <c r="G23" s="556" t="s">
        <v>1920</v>
      </c>
      <c r="H23" s="574">
        <f>Input!$L$770</f>
        <v>2755409250</v>
      </c>
      <c r="I23" s="573">
        <f>Input!M770</f>
        <v>2786385900</v>
      </c>
    </row>
    <row r="24" spans="1:11" ht="21" customHeight="1" x14ac:dyDescent="0.35">
      <c r="A24" s="323"/>
      <c r="B24" s="557"/>
      <c r="C24" s="548"/>
      <c r="D24" s="548"/>
      <c r="E24" s="560" t="s">
        <v>1243</v>
      </c>
      <c r="F24" s="548"/>
      <c r="G24" s="556" t="s">
        <v>1921</v>
      </c>
      <c r="H24" s="574">
        <f>Input!L771</f>
        <v>576901000</v>
      </c>
      <c r="I24" s="573">
        <f>Input!M771</f>
        <v>230190000</v>
      </c>
    </row>
    <row r="25" spans="1:11" s="316" customFormat="1" ht="21" customHeight="1" x14ac:dyDescent="0.35">
      <c r="A25" s="323"/>
      <c r="B25" s="557"/>
      <c r="C25" s="548"/>
      <c r="D25" s="548"/>
      <c r="E25" s="560" t="s">
        <v>1247</v>
      </c>
      <c r="F25" s="548"/>
      <c r="G25" s="556" t="s">
        <v>1922</v>
      </c>
      <c r="H25" s="574">
        <f>Input!L775</f>
        <v>0</v>
      </c>
      <c r="I25" s="573">
        <f>Input!M775</f>
        <v>0</v>
      </c>
    </row>
    <row r="26" spans="1:11" s="316" customFormat="1" ht="21" customHeight="1" x14ac:dyDescent="0.35">
      <c r="A26" s="323"/>
      <c r="B26" s="557"/>
      <c r="C26" s="548"/>
      <c r="D26" s="548"/>
      <c r="E26" s="560" t="s">
        <v>1248</v>
      </c>
      <c r="F26" s="548"/>
      <c r="G26" s="556" t="s">
        <v>1923</v>
      </c>
      <c r="H26" s="574">
        <f>Input!L776</f>
        <v>902340970</v>
      </c>
      <c r="I26" s="573">
        <f>Input!M776</f>
        <v>332803461</v>
      </c>
    </row>
    <row r="27" spans="1:11" s="316" customFormat="1" ht="21" customHeight="1" x14ac:dyDescent="0.35">
      <c r="A27" s="323"/>
      <c r="B27" s="557"/>
      <c r="C27" s="548"/>
      <c r="D27" s="548"/>
      <c r="E27" s="560" t="s">
        <v>1249</v>
      </c>
      <c r="F27" s="548"/>
      <c r="G27" s="556" t="s">
        <v>2201</v>
      </c>
      <c r="H27" s="574">
        <f>Input!L777</f>
        <v>0</v>
      </c>
      <c r="I27" s="573">
        <f>Input!M777</f>
        <v>0</v>
      </c>
    </row>
    <row r="28" spans="1:11" s="316" customFormat="1" ht="21" customHeight="1" x14ac:dyDescent="0.35">
      <c r="A28" s="323"/>
      <c r="B28" s="557"/>
      <c r="C28" s="548"/>
      <c r="D28" s="548"/>
      <c r="E28" s="560" t="s">
        <v>1251</v>
      </c>
      <c r="F28" s="548"/>
      <c r="G28" s="556"/>
      <c r="H28" s="579">
        <f>Input!L779</f>
        <v>0</v>
      </c>
      <c r="I28" s="573">
        <f>Input!M779</f>
        <v>0</v>
      </c>
    </row>
    <row r="29" spans="1:11" ht="21" customHeight="1" x14ac:dyDescent="0.35">
      <c r="A29" s="323"/>
      <c r="B29" s="557"/>
      <c r="C29" s="548"/>
      <c r="D29" s="548"/>
      <c r="E29" s="558"/>
      <c r="F29" s="559" t="s">
        <v>1252</v>
      </c>
      <c r="G29" s="556"/>
      <c r="H29" s="577">
        <f>SUM(H19:H28)</f>
        <v>10857892643</v>
      </c>
      <c r="I29" s="578">
        <f>SUM(I19:I28)</f>
        <v>10468079262</v>
      </c>
    </row>
    <row r="30" spans="1:11" ht="21" customHeight="1" x14ac:dyDescent="0.35">
      <c r="A30" s="323"/>
      <c r="B30" s="557"/>
      <c r="C30" s="548"/>
      <c r="D30" s="548"/>
      <c r="E30" s="548"/>
      <c r="F30" s="559" t="s">
        <v>1253</v>
      </c>
      <c r="G30" s="556"/>
      <c r="H30" s="568">
        <f>H17-H29</f>
        <v>-10857892643</v>
      </c>
      <c r="I30" s="580">
        <f>I17-I29</f>
        <v>-10467179262</v>
      </c>
      <c r="K30" s="8"/>
    </row>
    <row r="31" spans="1:11" ht="21" customHeight="1" x14ac:dyDescent="0.35">
      <c r="A31" s="323"/>
      <c r="B31" s="555" t="s">
        <v>1254</v>
      </c>
      <c r="C31" s="548"/>
      <c r="D31" s="548"/>
      <c r="E31" s="548"/>
      <c r="F31" s="548"/>
      <c r="G31" s="556" t="s">
        <v>2202</v>
      </c>
      <c r="H31" s="574"/>
      <c r="I31" s="573"/>
    </row>
    <row r="32" spans="1:11" ht="21" customHeight="1" x14ac:dyDescent="0.35">
      <c r="A32" s="323"/>
      <c r="B32" s="557"/>
      <c r="C32" s="548"/>
      <c r="D32" s="547" t="s">
        <v>1272</v>
      </c>
      <c r="E32" s="548"/>
      <c r="F32" s="548"/>
      <c r="G32" s="556"/>
      <c r="H32" s="574"/>
      <c r="I32" s="573"/>
    </row>
    <row r="33" spans="1:9" ht="21" customHeight="1" x14ac:dyDescent="0.35">
      <c r="A33" s="323"/>
      <c r="B33" s="557"/>
      <c r="C33" s="548"/>
      <c r="D33" s="548"/>
      <c r="E33" s="548" t="s">
        <v>1255</v>
      </c>
      <c r="F33" s="548"/>
      <c r="G33" s="556"/>
      <c r="H33" s="574">
        <f>Input!L784</f>
        <v>1799999</v>
      </c>
      <c r="I33" s="573">
        <f>Input!M784</f>
        <v>48000000</v>
      </c>
    </row>
    <row r="34" spans="1:9" s="316" customFormat="1" ht="21" customHeight="1" x14ac:dyDescent="0.35">
      <c r="A34" s="323"/>
      <c r="B34" s="557"/>
      <c r="C34" s="548"/>
      <c r="D34" s="548"/>
      <c r="E34" s="548" t="s">
        <v>1256</v>
      </c>
      <c r="F34" s="548"/>
      <c r="G34" s="556"/>
      <c r="H34" s="579">
        <f>Input!L786</f>
        <v>0</v>
      </c>
      <c r="I34" s="581">
        <f>Input!M786</f>
        <v>-2837313</v>
      </c>
    </row>
    <row r="35" spans="1:9" ht="21" customHeight="1" x14ac:dyDescent="0.35">
      <c r="A35" s="323"/>
      <c r="B35" s="555"/>
      <c r="C35" s="547"/>
      <c r="D35" s="547"/>
      <c r="E35" s="547"/>
      <c r="F35" s="547" t="s">
        <v>1257</v>
      </c>
      <c r="G35" s="556"/>
      <c r="H35" s="582">
        <f>SUM(H33:H34)</f>
        <v>1799999</v>
      </c>
      <c r="I35" s="583">
        <f>SUM(I33:I34)</f>
        <v>45162687</v>
      </c>
    </row>
    <row r="36" spans="1:9" ht="24" customHeight="1" x14ac:dyDescent="0.35">
      <c r="A36" s="323"/>
      <c r="B36" s="561"/>
      <c r="C36" s="562"/>
      <c r="D36" s="2168" t="s">
        <v>1258</v>
      </c>
      <c r="E36" s="2168"/>
      <c r="F36" s="2168"/>
      <c r="G36" s="556"/>
      <c r="H36" s="582"/>
      <c r="I36" s="583"/>
    </row>
    <row r="37" spans="1:9" ht="21" customHeight="1" x14ac:dyDescent="0.35">
      <c r="A37" s="323"/>
      <c r="B37" s="555"/>
      <c r="C37" s="547"/>
      <c r="D37" s="547"/>
      <c r="E37" s="563" t="s">
        <v>2053</v>
      </c>
      <c r="F37" s="562"/>
      <c r="G37" s="561"/>
      <c r="H37" s="574">
        <f>Input!L789</f>
        <v>0</v>
      </c>
      <c r="I37" s="583" t="str">
        <f>Input!M789</f>
        <v xml:space="preserve"> </v>
      </c>
    </row>
    <row r="38" spans="1:9" ht="21" customHeight="1" x14ac:dyDescent="0.35">
      <c r="A38" s="323"/>
      <c r="B38" s="561"/>
      <c r="C38" s="562"/>
      <c r="D38" s="562"/>
      <c r="E38" s="563" t="s">
        <v>1260</v>
      </c>
      <c r="F38" s="562"/>
      <c r="G38" s="556"/>
      <c r="H38" s="579">
        <f>Input!L790</f>
        <v>0</v>
      </c>
      <c r="I38" s="584">
        <f>Input!M790</f>
        <v>0</v>
      </c>
    </row>
    <row r="39" spans="1:9" ht="21" customHeight="1" x14ac:dyDescent="0.35">
      <c r="A39" s="323"/>
      <c r="B39" s="555"/>
      <c r="C39" s="547"/>
      <c r="D39" s="547"/>
      <c r="E39" s="547"/>
      <c r="F39" s="564" t="s">
        <v>1261</v>
      </c>
      <c r="G39" s="556"/>
      <c r="H39" s="582">
        <f>SUM(H37:H38)</f>
        <v>0</v>
      </c>
      <c r="I39" s="583">
        <f>SUM(I37:I38)</f>
        <v>0</v>
      </c>
    </row>
    <row r="40" spans="1:9" ht="21" customHeight="1" x14ac:dyDescent="0.35">
      <c r="A40" s="323"/>
      <c r="B40" s="561"/>
      <c r="C40" s="562"/>
      <c r="D40" s="547" t="s">
        <v>1262</v>
      </c>
      <c r="E40" s="547"/>
      <c r="F40" s="562"/>
      <c r="G40" s="556"/>
      <c r="H40" s="582"/>
      <c r="I40" s="583"/>
    </row>
    <row r="41" spans="1:9" ht="21" customHeight="1" x14ac:dyDescent="0.35">
      <c r="A41" s="323"/>
      <c r="B41" s="555"/>
      <c r="C41" s="547"/>
      <c r="D41" s="547"/>
      <c r="E41" s="548" t="s">
        <v>1263</v>
      </c>
      <c r="F41" s="547"/>
      <c r="G41" s="561"/>
      <c r="H41" s="574">
        <f>Input!L793</f>
        <v>1500000</v>
      </c>
      <c r="I41" s="573">
        <f>Input!M793</f>
        <v>7000</v>
      </c>
    </row>
    <row r="42" spans="1:9" ht="21" customHeight="1" x14ac:dyDescent="0.35">
      <c r="A42" s="323"/>
      <c r="B42" s="557"/>
      <c r="C42" s="548"/>
      <c r="D42" s="548"/>
      <c r="E42" s="548" t="s">
        <v>1264</v>
      </c>
      <c r="F42" s="548"/>
      <c r="G42" s="556"/>
      <c r="H42" s="579">
        <f>Input!L794</f>
        <v>69900</v>
      </c>
      <c r="I42" s="585">
        <f>Input!M794</f>
        <v>69600</v>
      </c>
    </row>
    <row r="43" spans="1:9" ht="21" customHeight="1" x14ac:dyDescent="0.35">
      <c r="A43" s="323"/>
      <c r="B43" s="555"/>
      <c r="C43" s="547"/>
      <c r="D43" s="547"/>
      <c r="E43" s="547"/>
      <c r="F43" s="564" t="s">
        <v>1265</v>
      </c>
      <c r="G43" s="556"/>
      <c r="H43" s="577">
        <f>H41-H42</f>
        <v>1430100</v>
      </c>
      <c r="I43" s="577">
        <f>I41-I42</f>
        <v>-62600</v>
      </c>
    </row>
    <row r="44" spans="1:9" ht="21" customHeight="1" x14ac:dyDescent="0.35">
      <c r="A44" s="323"/>
      <c r="B44" s="555"/>
      <c r="C44" s="547"/>
      <c r="D44" s="547"/>
      <c r="E44" s="547"/>
      <c r="F44" s="547" t="s">
        <v>1266</v>
      </c>
      <c r="G44" s="561"/>
      <c r="H44" s="568">
        <f>H35+H39+H43</f>
        <v>3230099</v>
      </c>
      <c r="I44" s="580">
        <f>I43+I39+I35</f>
        <v>45100087</v>
      </c>
    </row>
    <row r="45" spans="1:9" ht="21" customHeight="1" x14ac:dyDescent="0.35">
      <c r="A45" s="323"/>
      <c r="B45" s="555" t="s">
        <v>1267</v>
      </c>
      <c r="C45" s="547"/>
      <c r="D45" s="547"/>
      <c r="E45" s="547"/>
      <c r="F45" s="548"/>
      <c r="G45" s="556" t="s">
        <v>2203</v>
      </c>
      <c r="H45" s="574"/>
      <c r="I45" s="573"/>
    </row>
    <row r="46" spans="1:9" ht="21" customHeight="1" x14ac:dyDescent="0.35">
      <c r="A46" s="323"/>
      <c r="B46" s="555"/>
      <c r="C46" s="547"/>
      <c r="D46" s="547" t="s">
        <v>1268</v>
      </c>
      <c r="E46" s="547"/>
      <c r="F46" s="548"/>
      <c r="G46" s="556"/>
      <c r="H46" s="574">
        <f>Input!L801</f>
        <v>0</v>
      </c>
      <c r="I46" s="573">
        <f>Input!M801</f>
        <v>0</v>
      </c>
    </row>
    <row r="47" spans="1:9" ht="21" customHeight="1" x14ac:dyDescent="0.35">
      <c r="A47" s="323"/>
      <c r="B47" s="555"/>
      <c r="C47" s="547"/>
      <c r="D47" s="547"/>
      <c r="E47" s="547"/>
      <c r="F47" s="547" t="s">
        <v>1269</v>
      </c>
      <c r="G47" s="556"/>
      <c r="H47" s="567">
        <f>SUM(H46)</f>
        <v>0</v>
      </c>
      <c r="I47" s="586">
        <f>SUM(I46)</f>
        <v>0</v>
      </c>
    </row>
    <row r="48" spans="1:9" ht="21" customHeight="1" thickBot="1" x14ac:dyDescent="0.4">
      <c r="A48" s="323"/>
      <c r="B48" s="565"/>
      <c r="C48" s="566"/>
      <c r="D48" s="566"/>
      <c r="E48" s="566"/>
      <c r="F48" s="712" t="s">
        <v>1270</v>
      </c>
      <c r="G48" s="707"/>
      <c r="H48" s="713">
        <f>H30+H44</f>
        <v>-10854662544</v>
      </c>
      <c r="I48" s="587">
        <f>I44+I30</f>
        <v>-10422079175</v>
      </c>
    </row>
    <row r="49" spans="1:9" ht="16" thickTop="1" x14ac:dyDescent="0.35">
      <c r="A49" s="323"/>
      <c r="B49" s="204"/>
      <c r="C49" s="204"/>
      <c r="D49" s="204"/>
      <c r="E49" s="204"/>
      <c r="F49" s="204"/>
      <c r="G49" s="204"/>
      <c r="H49" s="205"/>
      <c r="I49" s="205"/>
    </row>
    <row r="50" spans="1:9" x14ac:dyDescent="0.35">
      <c r="A50" s="323"/>
    </row>
    <row r="51" spans="1:9" x14ac:dyDescent="0.35">
      <c r="A51" s="323"/>
    </row>
    <row r="52" spans="1:9" x14ac:dyDescent="0.35">
      <c r="A52" s="323"/>
    </row>
    <row r="53" spans="1:9" x14ac:dyDescent="0.35">
      <c r="A53" s="323"/>
    </row>
  </sheetData>
  <customSheetViews>
    <customSheetView guid="{EBF27D8D-2DD9-43E5-8C42-19F0B73014F5}" showPageBreaks="1">
      <selection activeCell="H10" sqref="H10:H66"/>
      <pageMargins left="0.7" right="0.7" top="0.75" bottom="0.75" header="0.3" footer="0.3"/>
      <pageSetup orientation="portrait" r:id="rId1"/>
    </customSheetView>
  </customSheetViews>
  <mergeCells count="7">
    <mergeCell ref="D36:F36"/>
    <mergeCell ref="B9:F9"/>
    <mergeCell ref="B1:I1"/>
    <mergeCell ref="B3:I3"/>
    <mergeCell ref="B5:I5"/>
    <mergeCell ref="B6:I6"/>
    <mergeCell ref="B7:I7"/>
  </mergeCells>
  <printOptions horizontalCentered="1"/>
  <pageMargins left="0.31496062992125984" right="0.23622047244094491" top="0.74803149606299213" bottom="0.86614173228346458" header="0.31496062992125984" footer="0.31496062992125984"/>
  <pageSetup paperSize="9" firstPageNumber="6" fitToHeight="0" orientation="portrait" useFirstPageNumber="1" r:id="rId2"/>
  <headerFooter>
    <oddFooter>&amp;C&amp;"+,Bold Italic"&amp;K000099&amp;P</oddFooter>
  </headerFooter>
  <rowBreaks count="1" manualBreakCount="1">
    <brk id="35"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24"/>
  <sheetViews>
    <sheetView view="pageBreakPreview" zoomScaleSheetLayoutView="100" workbookViewId="0">
      <selection activeCell="B1" sqref="B1:I1"/>
    </sheetView>
  </sheetViews>
  <sheetFormatPr defaultColWidth="9" defaultRowHeight="15.5" x14ac:dyDescent="0.35"/>
  <cols>
    <col min="1" max="1" width="1.5" style="468" customWidth="1"/>
    <col min="2" max="4" width="2.25" style="665" customWidth="1"/>
    <col min="5" max="5" width="3.08203125" style="665" customWidth="1"/>
    <col min="6" max="6" width="29.5" style="665" customWidth="1"/>
    <col min="7" max="7" width="8.75" style="665" customWidth="1"/>
    <col min="8" max="9" width="14.33203125" style="203" bestFit="1" customWidth="1"/>
    <col min="10" max="10" width="0.25" style="468" customWidth="1"/>
    <col min="11" max="16384" width="9" style="468"/>
  </cols>
  <sheetData>
    <row r="1" spans="1:9" x14ac:dyDescent="0.35">
      <c r="A1" s="323"/>
      <c r="B1" s="2117" t="str">
        <f>'2 kata'!B1</f>
        <v>Laporan Keuangan Balai Pelestarian Nilai Budaya Bali Untuk Periode yang Berakhir 31 Desember 2019</v>
      </c>
      <c r="C1" s="2117"/>
      <c r="D1" s="2117"/>
      <c r="E1" s="2117"/>
      <c r="F1" s="2117"/>
      <c r="G1" s="2117"/>
      <c r="H1" s="2117"/>
      <c r="I1" s="2117"/>
    </row>
    <row r="2" spans="1:9" x14ac:dyDescent="0.35">
      <c r="A2" s="323"/>
    </row>
    <row r="3" spans="1:9" ht="17.5" x14ac:dyDescent="0.35">
      <c r="A3" s="323"/>
      <c r="B3" s="2126" t="s">
        <v>1273</v>
      </c>
      <c r="C3" s="2126"/>
      <c r="D3" s="2126"/>
      <c r="E3" s="2126"/>
      <c r="F3" s="2126"/>
      <c r="G3" s="2126"/>
      <c r="H3" s="2126"/>
      <c r="I3" s="2126"/>
    </row>
    <row r="4" spans="1:9" ht="17.5" x14ac:dyDescent="0.35">
      <c r="A4" s="323"/>
      <c r="B4" s="200" t="s">
        <v>69</v>
      </c>
      <c r="C4" s="200"/>
      <c r="D4" s="200"/>
    </row>
    <row r="5" spans="1:9" x14ac:dyDescent="0.35">
      <c r="A5" s="323"/>
      <c r="B5" s="2150" t="str">
        <f>UPPER(Input!$M$13)</f>
        <v>BALAI PELESTARIAN NILAI BUDAYA BALI</v>
      </c>
      <c r="C5" s="2150"/>
      <c r="D5" s="2150"/>
      <c r="E5" s="2150"/>
      <c r="F5" s="2150"/>
      <c r="G5" s="2150"/>
      <c r="H5" s="2150"/>
      <c r="I5" s="2150"/>
    </row>
    <row r="6" spans="1:9" x14ac:dyDescent="0.35">
      <c r="A6" s="323"/>
      <c r="B6" s="2151" t="s">
        <v>1274</v>
      </c>
      <c r="C6" s="2151"/>
      <c r="D6" s="2151"/>
      <c r="E6" s="2151"/>
      <c r="F6" s="2151"/>
      <c r="G6" s="2151"/>
      <c r="H6" s="2151"/>
      <c r="I6" s="2151"/>
    </row>
    <row r="7" spans="1:9" x14ac:dyDescent="0.35">
      <c r="A7" s="323"/>
      <c r="B7" s="2152" t="str">
        <f>"UNTUK PERIODE YANG BERAKHIR "&amp;UPPER(Input!$Q$24)&amp;" DAN "&amp;UPPER(Input!$M$25)</f>
        <v>UNTUK PERIODE YANG BERAKHIR 31 DESEMBER 2019 DAN 31 DESEMBER 2018</v>
      </c>
      <c r="C7" s="2152"/>
      <c r="D7" s="2152"/>
      <c r="E7" s="2152"/>
      <c r="F7" s="2152"/>
      <c r="G7" s="2152"/>
      <c r="H7" s="2152"/>
      <c r="I7" s="2152"/>
    </row>
    <row r="8" spans="1:9" x14ac:dyDescent="0.35">
      <c r="A8" s="323"/>
      <c r="B8" s="708"/>
      <c r="C8" s="708"/>
      <c r="D8" s="708"/>
      <c r="E8" s="709"/>
      <c r="F8" s="709"/>
      <c r="G8" s="709"/>
      <c r="H8" s="710"/>
      <c r="I8" s="711" t="s">
        <v>58</v>
      </c>
    </row>
    <row r="9" spans="1:9" ht="24" customHeight="1" x14ac:dyDescent="0.35">
      <c r="A9" s="323"/>
      <c r="B9" s="2174" t="s">
        <v>264</v>
      </c>
      <c r="C9" s="2175"/>
      <c r="D9" s="2175"/>
      <c r="E9" s="2175"/>
      <c r="F9" s="2176"/>
      <c r="G9" s="1314" t="s">
        <v>72</v>
      </c>
      <c r="H9" s="569" t="str">
        <f>Input!$M$24</f>
        <v>31 Desember 2019</v>
      </c>
      <c r="I9" s="569" t="str">
        <f>Input!$M$25</f>
        <v>31 Desember 2018</v>
      </c>
    </row>
    <row r="10" spans="1:9" ht="24" customHeight="1" x14ac:dyDescent="0.35">
      <c r="A10" s="323"/>
      <c r="B10" s="714" t="s">
        <v>1275</v>
      </c>
      <c r="C10" s="550"/>
      <c r="D10" s="550"/>
      <c r="E10" s="550"/>
      <c r="F10" s="550"/>
      <c r="G10" s="715" t="s">
        <v>1924</v>
      </c>
      <c r="H10" s="1375">
        <f>Input!L809</f>
        <v>23189043788</v>
      </c>
      <c r="I10" s="779">
        <f>Input!M809</f>
        <v>7923976921</v>
      </c>
    </row>
    <row r="11" spans="1:9" ht="24" customHeight="1" x14ac:dyDescent="0.35">
      <c r="A11" s="323"/>
      <c r="B11" s="716" t="s">
        <v>1276</v>
      </c>
      <c r="C11" s="549"/>
      <c r="D11" s="550"/>
      <c r="E11" s="550"/>
      <c r="F11" s="550"/>
      <c r="G11" s="715" t="s">
        <v>1925</v>
      </c>
      <c r="H11" s="1374">
        <f>Input!L810</f>
        <v>-10854662544</v>
      </c>
      <c r="I11" s="779">
        <f>'9 LO'!I48</f>
        <v>-10422079175</v>
      </c>
    </row>
    <row r="12" spans="1:9" ht="24" customHeight="1" x14ac:dyDescent="0.35">
      <c r="A12" s="323"/>
      <c r="B12" s="716" t="s">
        <v>2132</v>
      </c>
      <c r="C12" s="550"/>
      <c r="D12" s="550"/>
      <c r="E12" s="550"/>
      <c r="F12" s="550"/>
      <c r="G12" s="1276" t="s">
        <v>1926</v>
      </c>
      <c r="H12" s="571">
        <f>Input!L811</f>
        <v>3375212</v>
      </c>
      <c r="I12" s="570">
        <f>Input!M811</f>
        <v>14234709992</v>
      </c>
    </row>
    <row r="13" spans="1:9" ht="24" customHeight="1" x14ac:dyDescent="0.35">
      <c r="A13" s="323"/>
      <c r="B13" s="717"/>
      <c r="C13" s="550"/>
      <c r="D13" s="2177" t="s">
        <v>2261</v>
      </c>
      <c r="E13" s="2177"/>
      <c r="F13" s="2178"/>
      <c r="G13" s="1398" t="s">
        <v>2204</v>
      </c>
      <c r="H13" s="1399">
        <f>Input!L812</f>
        <v>0</v>
      </c>
      <c r="I13" s="1400">
        <f>Input!M812</f>
        <v>0</v>
      </c>
    </row>
    <row r="14" spans="1:9" s="545" customFormat="1" ht="24" customHeight="1" x14ac:dyDescent="0.35">
      <c r="A14" s="1401"/>
      <c r="B14" s="717"/>
      <c r="C14" s="550"/>
      <c r="D14" s="551" t="s">
        <v>2056</v>
      </c>
      <c r="E14" s="550"/>
      <c r="F14" s="550"/>
      <c r="G14" s="1351" t="s">
        <v>2205</v>
      </c>
      <c r="H14" s="571">
        <f>Input!L813</f>
        <v>0</v>
      </c>
      <c r="I14" s="570">
        <f>Input!M813</f>
        <v>0</v>
      </c>
    </row>
    <row r="15" spans="1:9" s="545" customFormat="1" ht="24" customHeight="1" x14ac:dyDescent="0.35">
      <c r="A15" s="1401"/>
      <c r="B15" s="717"/>
      <c r="C15" s="1402"/>
      <c r="D15" s="551" t="s">
        <v>1277</v>
      </c>
      <c r="E15" s="551"/>
      <c r="F15" s="551"/>
      <c r="G15" s="1351" t="s">
        <v>2206</v>
      </c>
      <c r="H15" s="571">
        <f>Input!L814</f>
        <v>0</v>
      </c>
      <c r="I15" s="570">
        <f>Input!M814</f>
        <v>0</v>
      </c>
    </row>
    <row r="16" spans="1:9" s="545" customFormat="1" ht="24" customHeight="1" x14ac:dyDescent="0.35">
      <c r="A16" s="1401"/>
      <c r="B16" s="717"/>
      <c r="C16" s="1402"/>
      <c r="D16" s="551" t="s">
        <v>2393</v>
      </c>
      <c r="E16" s="551"/>
      <c r="F16" s="551"/>
      <c r="G16" s="1351" t="s">
        <v>2207</v>
      </c>
      <c r="H16" s="571">
        <f>Input!L815</f>
        <v>3375212</v>
      </c>
      <c r="I16" s="570"/>
    </row>
    <row r="17" spans="1:9" s="545" customFormat="1" ht="24" customHeight="1" x14ac:dyDescent="0.35">
      <c r="A17" s="1401"/>
      <c r="B17" s="717"/>
      <c r="C17" s="1402"/>
      <c r="D17" s="551" t="s">
        <v>1278</v>
      </c>
      <c r="E17" s="551"/>
      <c r="F17" s="551"/>
      <c r="G17" s="1351" t="s">
        <v>2208</v>
      </c>
      <c r="H17" s="571">
        <f>Input!L816</f>
        <v>0</v>
      </c>
      <c r="I17" s="570">
        <f>Input!M816</f>
        <v>14234709992</v>
      </c>
    </row>
    <row r="18" spans="1:9" s="545" customFormat="1" ht="24" customHeight="1" x14ac:dyDescent="0.35">
      <c r="A18" s="1401"/>
      <c r="B18" s="717"/>
      <c r="C18" s="1402"/>
      <c r="D18" s="551" t="s">
        <v>1279</v>
      </c>
      <c r="E18" s="551"/>
      <c r="F18" s="551"/>
      <c r="G18" s="1351" t="s">
        <v>2209</v>
      </c>
      <c r="H18" s="571">
        <f>Input!L817</f>
        <v>0</v>
      </c>
      <c r="I18" s="570">
        <f>Input!M817</f>
        <v>0</v>
      </c>
    </row>
    <row r="19" spans="1:9" s="545" customFormat="1" ht="24" customHeight="1" x14ac:dyDescent="0.35">
      <c r="A19" s="1401"/>
      <c r="B19" s="717"/>
      <c r="C19" s="551"/>
      <c r="D19" s="551" t="s">
        <v>2133</v>
      </c>
      <c r="E19" s="551"/>
      <c r="F19" s="551"/>
      <c r="G19" s="1351" t="s">
        <v>2394</v>
      </c>
      <c r="H19" s="571">
        <f>Input!L818</f>
        <v>0</v>
      </c>
      <c r="I19" s="570">
        <f>Input!M818</f>
        <v>0</v>
      </c>
    </row>
    <row r="20" spans="1:9" ht="24" customHeight="1" x14ac:dyDescent="0.35">
      <c r="A20" s="323"/>
      <c r="B20" s="716" t="s">
        <v>318</v>
      </c>
      <c r="C20" s="550"/>
      <c r="D20" s="550"/>
      <c r="E20" s="550"/>
      <c r="F20" s="550"/>
      <c r="G20" s="715"/>
      <c r="H20" s="1374">
        <f>SUM(H13:H19)</f>
        <v>3375212</v>
      </c>
      <c r="I20" s="779">
        <f>SUM(I13:I19)</f>
        <v>14234709992</v>
      </c>
    </row>
    <row r="21" spans="1:9" ht="24" customHeight="1" x14ac:dyDescent="0.35">
      <c r="A21" s="323"/>
      <c r="B21" s="716" t="s">
        <v>1280</v>
      </c>
      <c r="C21" s="550"/>
      <c r="D21" s="550"/>
      <c r="E21" s="550"/>
      <c r="F21" s="550"/>
      <c r="G21" s="715" t="s">
        <v>1927</v>
      </c>
      <c r="H21" s="571">
        <f>Input!L819</f>
        <v>11428344724</v>
      </c>
      <c r="I21" s="570">
        <f>Input!M819</f>
        <v>11443436050</v>
      </c>
    </row>
    <row r="22" spans="1:9" ht="24" customHeight="1" x14ac:dyDescent="0.35">
      <c r="A22" s="323"/>
      <c r="B22" s="716" t="s">
        <v>1281</v>
      </c>
      <c r="C22" s="550"/>
      <c r="D22" s="550"/>
      <c r="E22" s="550"/>
      <c r="F22" s="550"/>
      <c r="G22" s="715" t="s">
        <v>1928</v>
      </c>
      <c r="H22" s="571">
        <f>Input!L820</f>
        <v>577057392</v>
      </c>
      <c r="I22" s="570">
        <f>Input!M820</f>
        <v>15265066867</v>
      </c>
    </row>
    <row r="23" spans="1:9" ht="24" customHeight="1" thickBot="1" x14ac:dyDescent="0.4">
      <c r="A23" s="323"/>
      <c r="B23" s="2171" t="s">
        <v>1282</v>
      </c>
      <c r="C23" s="2172"/>
      <c r="D23" s="2172"/>
      <c r="E23" s="2172"/>
      <c r="F23" s="2173"/>
      <c r="G23" s="718" t="s">
        <v>1928</v>
      </c>
      <c r="H23" s="634">
        <f>Input!L821</f>
        <v>23766101180</v>
      </c>
      <c r="I23" s="1277">
        <f>Input!M821</f>
        <v>23189043788</v>
      </c>
    </row>
    <row r="24" spans="1:9" ht="16" thickTop="1" x14ac:dyDescent="0.35">
      <c r="A24" s="323"/>
      <c r="B24" s="204"/>
      <c r="C24" s="204"/>
      <c r="D24" s="204"/>
      <c r="E24" s="204"/>
      <c r="F24" s="204"/>
      <c r="G24" s="204"/>
      <c r="H24" s="205"/>
      <c r="I24" s="205"/>
    </row>
  </sheetData>
  <mergeCells count="8">
    <mergeCell ref="B23:F23"/>
    <mergeCell ref="B1:I1"/>
    <mergeCell ref="B3:I3"/>
    <mergeCell ref="B5:I5"/>
    <mergeCell ref="B6:I6"/>
    <mergeCell ref="B7:I7"/>
    <mergeCell ref="B9:F9"/>
    <mergeCell ref="D13:F13"/>
  </mergeCells>
  <printOptions horizontalCentered="1"/>
  <pageMargins left="0.31496062992125984" right="0.23622047244094491" top="0.74803149606299213" bottom="0.86614173228346458" header="0.31496062992125984" footer="0.31496062992125984"/>
  <pageSetup paperSize="9" fitToHeight="0" orientation="portrait" r:id="rId1"/>
  <headerFooter>
    <oddFooter>&amp;C&amp;"+,Bold Italic"&amp;K0000998</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T324"/>
  <sheetViews>
    <sheetView view="pageBreakPreview" topLeftCell="A154" zoomScaleSheetLayoutView="100" workbookViewId="0">
      <selection sqref="A1:J1"/>
    </sheetView>
  </sheetViews>
  <sheetFormatPr defaultColWidth="10" defaultRowHeight="15.5" x14ac:dyDescent="0.35"/>
  <cols>
    <col min="1" max="1" width="14.08203125" style="432" customWidth="1"/>
    <col min="2" max="2" width="3.25" style="433" customWidth="1"/>
    <col min="3" max="3" width="4" style="335" customWidth="1"/>
    <col min="4" max="4" width="3" style="335" customWidth="1"/>
    <col min="5" max="5" width="9" style="335"/>
    <col min="6" max="6" width="3" style="335" customWidth="1"/>
    <col min="7" max="8" width="9" style="335"/>
    <col min="9" max="9" width="16.58203125" style="335" customWidth="1"/>
    <col min="10" max="10" width="11.33203125" style="335" customWidth="1"/>
    <col min="11" max="11" width="10" style="335"/>
    <col min="12" max="20" width="10" style="492"/>
    <col min="21" max="16384" width="10" style="335"/>
  </cols>
  <sheetData>
    <row r="1" spans="1:12" x14ac:dyDescent="0.35">
      <c r="A1" s="2124" t="str">
        <f>'2 kata'!B1</f>
        <v>Laporan Keuangan Balai Pelestarian Nilai Budaya Bali Untuk Periode yang Berakhir 31 Desember 2019</v>
      </c>
      <c r="B1" s="2124"/>
      <c r="C1" s="2124"/>
      <c r="D1" s="2124"/>
      <c r="E1" s="2124"/>
      <c r="F1" s="2124"/>
      <c r="G1" s="2124"/>
      <c r="H1" s="2124"/>
      <c r="I1" s="2124"/>
      <c r="J1" s="2124"/>
    </row>
    <row r="2" spans="1:12" x14ac:dyDescent="0.35">
      <c r="A2" s="2227"/>
      <c r="B2" s="2227"/>
      <c r="C2" s="2227"/>
      <c r="D2" s="2227"/>
      <c r="E2" s="2227"/>
      <c r="F2" s="2227"/>
      <c r="G2" s="2227"/>
      <c r="H2" s="2227"/>
      <c r="I2" s="2227"/>
      <c r="J2" s="2227"/>
      <c r="K2" s="431"/>
    </row>
    <row r="3" spans="1:12" ht="11.25" customHeight="1" x14ac:dyDescent="0.35">
      <c r="A3" s="2126" t="s">
        <v>1677</v>
      </c>
      <c r="B3" s="2126"/>
      <c r="C3" s="2126"/>
      <c r="D3" s="2126"/>
      <c r="E3" s="2126"/>
      <c r="F3" s="2126"/>
      <c r="G3" s="2126"/>
      <c r="H3" s="2126"/>
      <c r="I3" s="2126"/>
      <c r="J3" s="2126"/>
    </row>
    <row r="4" spans="1:12" ht="11.25" customHeight="1" x14ac:dyDescent="0.35">
      <c r="A4" s="2126"/>
      <c r="B4" s="2126"/>
      <c r="C4" s="2126"/>
      <c r="D4" s="2126"/>
      <c r="E4" s="2126"/>
      <c r="F4" s="2126"/>
      <c r="G4" s="2126"/>
      <c r="H4" s="2126"/>
      <c r="I4" s="2126"/>
      <c r="J4" s="2126"/>
    </row>
    <row r="5" spans="1:12" x14ac:dyDescent="0.35">
      <c r="A5" s="800"/>
    </row>
    <row r="6" spans="1:12" ht="16.5" x14ac:dyDescent="0.35">
      <c r="A6" s="800"/>
      <c r="C6" s="2231" t="s">
        <v>93</v>
      </c>
      <c r="D6" s="2231"/>
      <c r="E6" s="2231"/>
      <c r="F6" s="2231"/>
      <c r="G6" s="2231"/>
      <c r="H6" s="2231"/>
      <c r="I6" s="2231"/>
      <c r="J6" s="2231"/>
    </row>
    <row r="7" spans="1:12" x14ac:dyDescent="0.35">
      <c r="A7" s="2229" t="s">
        <v>1679</v>
      </c>
      <c r="B7" s="434"/>
      <c r="C7" s="2240" t="str">
        <f>"A.1.  Profil dan Kebijakan Teknis  "&amp;Input!$M$13&amp;"."</f>
        <v>A.1.  Profil dan Kebijakan Teknis  BALAI PELESTARIAN NILAI BUDAYA BALI.</v>
      </c>
      <c r="D7" s="2240"/>
      <c r="E7" s="2240"/>
      <c r="F7" s="2240"/>
      <c r="G7" s="2240"/>
      <c r="H7" s="2240"/>
      <c r="I7" s="2240"/>
      <c r="J7" s="2240"/>
    </row>
    <row r="8" spans="1:12" s="492" customFormat="1" x14ac:dyDescent="0.35">
      <c r="A8" s="2229"/>
      <c r="B8" s="434"/>
      <c r="C8" s="2118"/>
      <c r="D8" s="2118"/>
      <c r="E8" s="2118"/>
      <c r="F8" s="2118"/>
      <c r="G8" s="2118"/>
      <c r="H8" s="2118"/>
      <c r="I8" s="2118"/>
      <c r="J8" s="2118"/>
    </row>
    <row r="9" spans="1:12" ht="12.75" customHeight="1" x14ac:dyDescent="0.35">
      <c r="A9" s="2229"/>
      <c r="C9" s="720"/>
      <c r="D9" s="2228"/>
      <c r="E9" s="2228"/>
      <c r="F9" s="2228"/>
      <c r="G9" s="2228"/>
      <c r="H9" s="2228"/>
      <c r="I9" s="2228"/>
      <c r="J9" s="2228"/>
    </row>
    <row r="10" spans="1:12" x14ac:dyDescent="0.35">
      <c r="C10" s="2233" t="s">
        <v>2368</v>
      </c>
      <c r="D10" s="2233"/>
      <c r="E10" s="2233"/>
      <c r="F10" s="2233"/>
      <c r="G10" s="2233"/>
      <c r="H10" s="2233"/>
      <c r="I10" s="2233"/>
      <c r="J10" s="2233"/>
      <c r="L10" s="719" t="s">
        <v>1930</v>
      </c>
    </row>
    <row r="11" spans="1:12" x14ac:dyDescent="0.35">
      <c r="C11" s="2233"/>
      <c r="D11" s="2233"/>
      <c r="E11" s="2233"/>
      <c r="F11" s="2233"/>
      <c r="G11" s="2233"/>
      <c r="H11" s="2233"/>
      <c r="I11" s="2233"/>
      <c r="J11" s="2233"/>
    </row>
    <row r="12" spans="1:12" x14ac:dyDescent="0.35">
      <c r="C12" s="2233"/>
      <c r="D12" s="2233"/>
      <c r="E12" s="2233"/>
      <c r="F12" s="2233"/>
      <c r="G12" s="2233"/>
      <c r="H12" s="2233"/>
      <c r="I12" s="2233"/>
      <c r="J12" s="2233"/>
      <c r="L12" s="492" t="s">
        <v>1936</v>
      </c>
    </row>
    <row r="13" spans="1:12" x14ac:dyDescent="0.35">
      <c r="A13" s="801"/>
      <c r="C13" s="2233"/>
      <c r="D13" s="2233"/>
      <c r="E13" s="2233"/>
      <c r="F13" s="2233"/>
      <c r="G13" s="2233"/>
      <c r="H13" s="2233"/>
      <c r="I13" s="2233"/>
      <c r="J13" s="2233"/>
    </row>
    <row r="14" spans="1:12" x14ac:dyDescent="0.35">
      <c r="A14" s="801"/>
      <c r="C14" s="2233"/>
      <c r="D14" s="2233"/>
      <c r="E14" s="2233"/>
      <c r="F14" s="2233"/>
      <c r="G14" s="2233"/>
      <c r="H14" s="2233"/>
      <c r="I14" s="2233"/>
      <c r="J14" s="2233"/>
    </row>
    <row r="15" spans="1:12" x14ac:dyDescent="0.35">
      <c r="A15" s="801"/>
      <c r="C15" s="2233"/>
      <c r="D15" s="2233"/>
      <c r="E15" s="2233"/>
      <c r="F15" s="2233"/>
      <c r="G15" s="2233"/>
      <c r="H15" s="2233"/>
      <c r="I15" s="2233"/>
      <c r="J15" s="2233"/>
    </row>
    <row r="16" spans="1:12" ht="4.5" customHeight="1" x14ac:dyDescent="0.35">
      <c r="A16" s="801"/>
      <c r="C16" s="2233"/>
      <c r="D16" s="2233"/>
      <c r="E16" s="2233"/>
      <c r="F16" s="2233"/>
      <c r="G16" s="2233"/>
      <c r="H16" s="2233"/>
      <c r="I16" s="2233"/>
      <c r="J16" s="2233"/>
    </row>
    <row r="17" spans="1:12" ht="3" customHeight="1" x14ac:dyDescent="0.35">
      <c r="A17" s="801"/>
      <c r="C17" s="2233"/>
      <c r="D17" s="2233"/>
      <c r="E17" s="2233"/>
      <c r="F17" s="2233"/>
      <c r="G17" s="2233"/>
      <c r="H17" s="2233"/>
      <c r="I17" s="2233"/>
      <c r="J17" s="2233"/>
    </row>
    <row r="18" spans="1:12" ht="6" customHeight="1" x14ac:dyDescent="0.35">
      <c r="A18" s="801"/>
      <c r="C18" s="720"/>
      <c r="D18" s="2228"/>
      <c r="E18" s="2228"/>
      <c r="F18" s="2228"/>
      <c r="G18" s="2228"/>
      <c r="H18" s="2228"/>
      <c r="I18" s="2228"/>
      <c r="J18" s="2228"/>
    </row>
    <row r="19" spans="1:12" x14ac:dyDescent="0.35">
      <c r="A19" s="801"/>
      <c r="C19" s="2233" t="s">
        <v>2369</v>
      </c>
      <c r="D19" s="2233"/>
      <c r="E19" s="2233"/>
      <c r="F19" s="2233"/>
      <c r="G19" s="2233"/>
      <c r="H19" s="2233"/>
      <c r="I19" s="2233"/>
      <c r="J19" s="2233"/>
      <c r="L19" s="719" t="s">
        <v>1929</v>
      </c>
    </row>
    <row r="20" spans="1:12" x14ac:dyDescent="0.35">
      <c r="A20" s="801"/>
      <c r="C20" s="2233"/>
      <c r="D20" s="2233"/>
      <c r="E20" s="2233"/>
      <c r="F20" s="2233"/>
      <c r="G20" s="2233"/>
      <c r="H20" s="2233"/>
      <c r="I20" s="2233"/>
      <c r="J20" s="2233"/>
      <c r="L20" s="589" t="s">
        <v>1881</v>
      </c>
    </row>
    <row r="21" spans="1:12" ht="257.25" customHeight="1" x14ac:dyDescent="0.35">
      <c r="A21" s="801"/>
      <c r="C21" s="2233"/>
      <c r="D21" s="2233"/>
      <c r="E21" s="2233"/>
      <c r="F21" s="2233"/>
      <c r="G21" s="2233"/>
      <c r="H21" s="2233"/>
      <c r="I21" s="2233"/>
      <c r="J21" s="2233"/>
    </row>
    <row r="22" spans="1:12" ht="6.75" hidden="1" customHeight="1" x14ac:dyDescent="0.35">
      <c r="A22" s="801"/>
      <c r="C22" s="721"/>
      <c r="D22" s="721"/>
      <c r="E22" s="721"/>
      <c r="F22" s="721"/>
      <c r="G22" s="721"/>
      <c r="H22" s="721"/>
      <c r="I22" s="721"/>
      <c r="J22" s="721"/>
    </row>
    <row r="23" spans="1:12" x14ac:dyDescent="0.35">
      <c r="A23" s="801"/>
      <c r="C23" s="2233" t="str">
        <f>"Untuk mewujudkan tujuan di atas   "&amp;Input!$M$13&amp;" erkomitmen dengan visi Menjadi pusat informasi nilai budaya lokaldalam upaya memperkukuh ketahanan sosial dan jati diri bangsa. Untuk mewujudkannya akan dilakukan beberapa langkah-langkah strategis atau misi sebagai berikut :"</f>
        <v>Untuk mewujudkan tujuan di atas   BALAI PELESTARIAN NILAI BUDAYA BALI erkomitmen dengan visi Menjadi pusat informasi nilai budaya lokaldalam upaya memperkukuh ketahanan sosial dan jati diri bangsa. Untuk mewujudkannya akan dilakukan beberapa langkah-langkah strategis atau misi sebagai berikut :</v>
      </c>
      <c r="D23" s="2233"/>
      <c r="E23" s="2233"/>
      <c r="F23" s="2233"/>
      <c r="G23" s="2233"/>
      <c r="H23" s="2233"/>
      <c r="I23" s="2233"/>
      <c r="J23" s="2233"/>
      <c r="L23" s="719" t="s">
        <v>1931</v>
      </c>
    </row>
    <row r="24" spans="1:12" s="492" customFormat="1" x14ac:dyDescent="0.35">
      <c r="A24" s="801"/>
      <c r="B24" s="433"/>
      <c r="C24" s="2233"/>
      <c r="D24" s="2233"/>
      <c r="E24" s="2233"/>
      <c r="F24" s="2233"/>
      <c r="G24" s="2233"/>
      <c r="H24" s="2233"/>
      <c r="I24" s="2233"/>
      <c r="J24" s="2233"/>
    </row>
    <row r="25" spans="1:12" s="492" customFormat="1" x14ac:dyDescent="0.35">
      <c r="A25" s="801"/>
      <c r="B25" s="433"/>
      <c r="C25" s="2233"/>
      <c r="D25" s="2233"/>
      <c r="E25" s="2233"/>
      <c r="F25" s="2233"/>
      <c r="G25" s="2233"/>
      <c r="H25" s="2233"/>
      <c r="I25" s="2233"/>
      <c r="J25" s="2233"/>
      <c r="L25" s="588"/>
    </row>
    <row r="26" spans="1:12" ht="40.5" customHeight="1" x14ac:dyDescent="0.35">
      <c r="A26" s="801"/>
      <c r="C26" s="2233"/>
      <c r="D26" s="2233"/>
      <c r="E26" s="2233"/>
      <c r="F26" s="2233"/>
      <c r="G26" s="2233"/>
      <c r="H26" s="2233"/>
      <c r="I26" s="2233"/>
      <c r="J26" s="2233"/>
    </row>
    <row r="27" spans="1:12" ht="52.5" customHeight="1" x14ac:dyDescent="0.35">
      <c r="A27" s="801"/>
      <c r="C27" s="820" t="s">
        <v>1694</v>
      </c>
      <c r="D27" s="2233" t="s">
        <v>2370</v>
      </c>
      <c r="E27" s="2233"/>
      <c r="F27" s="2233"/>
      <c r="G27" s="2233"/>
      <c r="H27" s="2233"/>
      <c r="I27" s="2233"/>
      <c r="J27" s="2233"/>
      <c r="L27" s="719" t="s">
        <v>1932</v>
      </c>
    </row>
    <row r="28" spans="1:12" ht="37.5" customHeight="1" x14ac:dyDescent="0.35">
      <c r="A28" s="801"/>
      <c r="C28" s="820" t="s">
        <v>1694</v>
      </c>
      <c r="D28" s="2233" t="s">
        <v>2371</v>
      </c>
      <c r="E28" s="2233"/>
      <c r="F28" s="2233"/>
      <c r="G28" s="2233"/>
      <c r="H28" s="2233"/>
      <c r="I28" s="2233"/>
      <c r="J28" s="2233"/>
    </row>
    <row r="29" spans="1:12" ht="36.75" customHeight="1" x14ac:dyDescent="0.35">
      <c r="A29" s="801"/>
      <c r="C29" s="820" t="s">
        <v>1694</v>
      </c>
      <c r="D29" s="2233" t="s">
        <v>2372</v>
      </c>
      <c r="E29" s="2233"/>
      <c r="F29" s="2233"/>
      <c r="G29" s="2233"/>
      <c r="H29" s="2233"/>
      <c r="I29" s="2233"/>
      <c r="J29" s="2233"/>
    </row>
    <row r="30" spans="1:12" ht="11.25" customHeight="1" x14ac:dyDescent="0.35">
      <c r="A30" s="801"/>
      <c r="C30" s="435"/>
      <c r="D30" s="435"/>
      <c r="E30" s="435"/>
      <c r="F30" s="435"/>
      <c r="G30" s="435"/>
      <c r="H30" s="435"/>
      <c r="I30" s="435"/>
      <c r="J30" s="435"/>
    </row>
    <row r="31" spans="1:12" ht="17.25" customHeight="1" x14ac:dyDescent="0.35">
      <c r="A31" s="2254" t="s">
        <v>94</v>
      </c>
      <c r="C31" s="2232" t="s">
        <v>1678</v>
      </c>
      <c r="D31" s="2232"/>
      <c r="E31" s="2232"/>
      <c r="F31" s="2232"/>
      <c r="G31" s="2232"/>
      <c r="H31" s="2232"/>
      <c r="I31" s="2232"/>
      <c r="J31" s="2232"/>
    </row>
    <row r="32" spans="1:12" x14ac:dyDescent="0.35">
      <c r="A32" s="2254"/>
      <c r="B32" s="436"/>
      <c r="C32" s="2192" t="str">
        <f>"Laporan Keuangan untuk periode yang berakhir "&amp;Input!$M$24&amp;" ini merupakan laporan yang mencakup seluruh aspek keuangan yang dikelola oleh "&amp;Input!M13&amp;".  Laporan Keuangan ini dihasilkan melalui Sistem Akuntansi Instansi (SAI) yaitu serangkaian prosedur manual maupun yang terkomputerisasi mulai dari pengumpulan data, pencatatan "&amp;"dan pengikhtisaran sampai dengan  pelaporan posisi keuangan dan operasi keuangan pada Kementerian Negara/Lembaga."</f>
        <v>Laporan Keuangan untuk periode yang berakhir 31 Desember 2019 ini merupakan laporan yang mencakup seluruh aspek keuangan yang dikelola oleh BALAI PELESTARIAN NILAI BUDAYA BALI.  Laporan Keuangan ini dihasilkan melalui Sistem Akuntansi Instansi (SAI) yaitu serangkaian prosedur manual maupun yang terkomputerisasi mulai dari pengumpulan data, pencatatan dan pengikhtisaran sampai dengan  pelaporan posisi keuangan dan operasi keuangan pada Kementerian Negara/Lembaga.</v>
      </c>
      <c r="D32" s="2192"/>
      <c r="E32" s="2192"/>
      <c r="F32" s="2192"/>
      <c r="G32" s="2192"/>
      <c r="H32" s="2192"/>
      <c r="I32" s="2192"/>
      <c r="J32" s="2192"/>
    </row>
    <row r="33" spans="1:10" s="492" customFormat="1" x14ac:dyDescent="0.35">
      <c r="A33" s="2254"/>
      <c r="B33" s="436"/>
      <c r="C33" s="2192"/>
      <c r="D33" s="2192"/>
      <c r="E33" s="2192"/>
      <c r="F33" s="2192"/>
      <c r="G33" s="2192"/>
      <c r="H33" s="2192"/>
      <c r="I33" s="2192"/>
      <c r="J33" s="2192"/>
    </row>
    <row r="34" spans="1:10" s="492" customFormat="1" x14ac:dyDescent="0.35">
      <c r="A34" s="743"/>
      <c r="B34" s="436"/>
      <c r="C34" s="2192"/>
      <c r="D34" s="2192"/>
      <c r="E34" s="2192"/>
      <c r="F34" s="2192"/>
      <c r="G34" s="2192"/>
      <c r="H34" s="2192"/>
      <c r="I34" s="2192"/>
      <c r="J34" s="2192"/>
    </row>
    <row r="35" spans="1:10" s="492" customFormat="1" x14ac:dyDescent="0.35">
      <c r="A35" s="743"/>
      <c r="B35" s="436"/>
      <c r="C35" s="2192"/>
      <c r="D35" s="2192"/>
      <c r="E35" s="2192"/>
      <c r="F35" s="2192"/>
      <c r="G35" s="2192"/>
      <c r="H35" s="2192"/>
      <c r="I35" s="2192"/>
      <c r="J35" s="2192"/>
    </row>
    <row r="36" spans="1:10" s="492" customFormat="1" x14ac:dyDescent="0.35">
      <c r="A36" s="743"/>
      <c r="B36" s="436"/>
      <c r="C36" s="2192"/>
      <c r="D36" s="2192"/>
      <c r="E36" s="2192"/>
      <c r="F36" s="2192"/>
      <c r="G36" s="2192"/>
      <c r="H36" s="2192"/>
      <c r="I36" s="2192"/>
      <c r="J36" s="2192"/>
    </row>
    <row r="37" spans="1:10" s="492" customFormat="1" x14ac:dyDescent="0.35">
      <c r="A37" s="743"/>
      <c r="B37" s="436"/>
      <c r="C37" s="2192"/>
      <c r="D37" s="2192"/>
      <c r="E37" s="2192"/>
      <c r="F37" s="2192"/>
      <c r="G37" s="2192"/>
      <c r="H37" s="2192"/>
      <c r="I37" s="2192"/>
      <c r="J37" s="2192"/>
    </row>
    <row r="38" spans="1:10" s="492" customFormat="1" x14ac:dyDescent="0.35">
      <c r="A38" s="743"/>
      <c r="B38" s="436"/>
      <c r="C38" s="2192"/>
      <c r="D38" s="2192"/>
      <c r="E38" s="2192"/>
      <c r="F38" s="2192"/>
      <c r="G38" s="2192"/>
      <c r="H38" s="2192"/>
      <c r="I38" s="2192"/>
      <c r="J38" s="2192"/>
    </row>
    <row r="39" spans="1:10" s="492" customFormat="1" x14ac:dyDescent="0.35">
      <c r="A39" s="743"/>
      <c r="B39" s="436"/>
      <c r="C39" s="2118"/>
      <c r="D39" s="2118"/>
      <c r="E39" s="2118"/>
      <c r="F39" s="2118"/>
      <c r="G39" s="2118"/>
      <c r="H39" s="2118"/>
      <c r="I39" s="2118"/>
      <c r="J39" s="2118"/>
    </row>
    <row r="40" spans="1:10" s="492" customFormat="1" ht="9" customHeight="1" x14ac:dyDescent="0.35">
      <c r="A40" s="743"/>
      <c r="B40" s="436"/>
      <c r="C40" s="497"/>
      <c r="D40" s="497"/>
      <c r="E40" s="497"/>
      <c r="F40" s="497"/>
      <c r="G40" s="497"/>
      <c r="H40" s="497"/>
      <c r="I40" s="497"/>
      <c r="J40" s="497"/>
    </row>
    <row r="41" spans="1:10" x14ac:dyDescent="0.35">
      <c r="A41" s="802"/>
      <c r="B41" s="434"/>
      <c r="C41" s="2192" t="s">
        <v>1937</v>
      </c>
      <c r="D41" s="2192"/>
      <c r="E41" s="2192"/>
      <c r="F41" s="2192"/>
      <c r="G41" s="2192"/>
      <c r="H41" s="2192"/>
      <c r="I41" s="2192"/>
      <c r="J41" s="2192"/>
    </row>
    <row r="42" spans="1:10" s="492" customFormat="1" x14ac:dyDescent="0.35">
      <c r="A42" s="802"/>
      <c r="B42" s="434"/>
      <c r="C42" s="2192"/>
      <c r="D42" s="2192"/>
      <c r="E42" s="2192"/>
      <c r="F42" s="2192"/>
      <c r="G42" s="2192"/>
      <c r="H42" s="2192"/>
      <c r="I42" s="2192"/>
      <c r="J42" s="2192"/>
    </row>
    <row r="43" spans="1:10" s="492" customFormat="1" x14ac:dyDescent="0.35">
      <c r="A43" s="802"/>
      <c r="B43" s="434"/>
      <c r="C43" s="2192"/>
      <c r="D43" s="2192"/>
      <c r="E43" s="2192"/>
      <c r="F43" s="2192"/>
      <c r="G43" s="2192"/>
      <c r="H43" s="2192"/>
      <c r="I43" s="2192"/>
      <c r="J43" s="2192"/>
    </row>
    <row r="44" spans="1:10" s="492" customFormat="1" x14ac:dyDescent="0.35">
      <c r="A44" s="802"/>
      <c r="B44" s="434"/>
      <c r="C44" s="2192"/>
      <c r="D44" s="2192"/>
      <c r="E44" s="2192"/>
      <c r="F44" s="2192"/>
      <c r="G44" s="2192"/>
      <c r="H44" s="2192"/>
      <c r="I44" s="2192"/>
      <c r="J44" s="2192"/>
    </row>
    <row r="45" spans="1:10" s="492" customFormat="1" x14ac:dyDescent="0.35">
      <c r="A45" s="802"/>
      <c r="B45" s="434"/>
      <c r="C45" s="2192"/>
      <c r="D45" s="2192"/>
      <c r="E45" s="2192"/>
      <c r="F45" s="2192"/>
      <c r="G45" s="2192"/>
      <c r="H45" s="2192"/>
      <c r="I45" s="2192"/>
      <c r="J45" s="2192"/>
    </row>
    <row r="46" spans="1:10" s="492" customFormat="1" x14ac:dyDescent="0.35">
      <c r="A46" s="802"/>
      <c r="B46" s="434"/>
      <c r="C46" s="2192"/>
      <c r="D46" s="2192"/>
      <c r="E46" s="2192"/>
      <c r="F46" s="2192"/>
      <c r="G46" s="2192"/>
      <c r="H46" s="2192"/>
      <c r="I46" s="2192"/>
      <c r="J46" s="2192"/>
    </row>
    <row r="47" spans="1:10" s="492" customFormat="1" x14ac:dyDescent="0.35">
      <c r="A47" s="802"/>
      <c r="B47" s="434"/>
      <c r="C47" s="2192"/>
      <c r="D47" s="2192"/>
      <c r="E47" s="2192"/>
      <c r="F47" s="2192"/>
      <c r="G47" s="2192"/>
      <c r="H47" s="2192"/>
      <c r="I47" s="2192"/>
      <c r="J47" s="2192"/>
    </row>
    <row r="48" spans="1:10" x14ac:dyDescent="0.35">
      <c r="A48" s="802"/>
      <c r="B48" s="434"/>
      <c r="C48" s="2118"/>
      <c r="D48" s="2118"/>
      <c r="E48" s="2118"/>
      <c r="F48" s="2118"/>
      <c r="G48" s="2118"/>
      <c r="H48" s="2118"/>
      <c r="I48" s="2118"/>
      <c r="J48" s="2118"/>
    </row>
    <row r="49" spans="1:10" s="492" customFormat="1" ht="6.75" customHeight="1" x14ac:dyDescent="0.35">
      <c r="A49" s="743"/>
      <c r="B49" s="433"/>
    </row>
    <row r="50" spans="1:10" x14ac:dyDescent="0.35">
      <c r="A50" s="722" t="s">
        <v>1681</v>
      </c>
      <c r="B50" s="724"/>
      <c r="C50" s="725" t="s">
        <v>1680</v>
      </c>
      <c r="D50" s="726"/>
      <c r="E50" s="726"/>
      <c r="F50" s="726"/>
      <c r="G50" s="726"/>
      <c r="H50" s="726"/>
      <c r="I50" s="726"/>
      <c r="J50" s="726"/>
    </row>
    <row r="51" spans="1:10" s="492" customFormat="1" hidden="1" x14ac:dyDescent="0.35">
      <c r="A51" s="722"/>
      <c r="B51" s="724"/>
      <c r="C51" s="725"/>
      <c r="D51" s="726"/>
      <c r="E51" s="726"/>
      <c r="F51" s="726"/>
      <c r="G51" s="726"/>
      <c r="H51" s="726"/>
      <c r="I51" s="726"/>
      <c r="J51" s="726"/>
    </row>
    <row r="52" spans="1:10" x14ac:dyDescent="0.35">
      <c r="B52" s="724"/>
      <c r="C52" s="2192" t="str">
        <f>Input!$M$13&amp;" menerapkan basis akrual dalam penyusunan dan penyajian Neraca, Laporan Operasional, dan Laporan Perubahan Ekuitas serta basis kas untuk penyusunan dan penyajian Laporan Realisasi Anggaran."</f>
        <v>BALAI PELESTARIAN NILAI BUDAYA BALI menerapkan basis akrual dalam penyusunan dan penyajian Neraca, Laporan Operasional, dan Laporan Perubahan Ekuitas serta basis kas untuk penyusunan dan penyajian Laporan Realisasi Anggaran.</v>
      </c>
      <c r="D52" s="2192"/>
      <c r="E52" s="2192"/>
      <c r="F52" s="2192"/>
      <c r="G52" s="2192"/>
      <c r="H52" s="2192"/>
      <c r="I52" s="2192"/>
      <c r="J52" s="2192"/>
    </row>
    <row r="53" spans="1:10" s="492" customFormat="1" x14ac:dyDescent="0.35">
      <c r="A53" s="722"/>
      <c r="B53" s="724"/>
      <c r="C53" s="2192"/>
      <c r="D53" s="2192"/>
      <c r="E53" s="2192"/>
      <c r="F53" s="2192"/>
      <c r="G53" s="2192"/>
      <c r="H53" s="2192"/>
      <c r="I53" s="2192"/>
      <c r="J53" s="2192"/>
    </row>
    <row r="54" spans="1:10" s="492" customFormat="1" x14ac:dyDescent="0.35">
      <c r="A54" s="722"/>
      <c r="B54" s="724"/>
      <c r="C54" s="2192"/>
      <c r="D54" s="2192"/>
      <c r="E54" s="2192"/>
      <c r="F54" s="2192"/>
      <c r="G54" s="2192"/>
      <c r="H54" s="2192"/>
      <c r="I54" s="2192"/>
      <c r="J54" s="2192"/>
    </row>
    <row r="55" spans="1:10" s="492" customFormat="1" x14ac:dyDescent="0.35">
      <c r="A55" s="722"/>
      <c r="B55" s="724"/>
      <c r="C55" s="2192"/>
      <c r="D55" s="2192"/>
      <c r="E55" s="2192"/>
      <c r="F55" s="2192"/>
      <c r="G55" s="2192"/>
      <c r="H55" s="2192"/>
      <c r="I55" s="2192"/>
      <c r="J55" s="2192"/>
    </row>
    <row r="56" spans="1:10" s="492" customFormat="1" x14ac:dyDescent="0.35">
      <c r="A56" s="722"/>
      <c r="B56" s="724"/>
      <c r="C56" s="2118"/>
      <c r="D56" s="2118"/>
      <c r="E56" s="2118"/>
      <c r="F56" s="2118"/>
      <c r="G56" s="2118"/>
      <c r="H56" s="2118"/>
      <c r="I56" s="2118"/>
      <c r="J56" s="2118"/>
    </row>
    <row r="57" spans="1:10" x14ac:dyDescent="0.35">
      <c r="A57" s="722"/>
      <c r="B57" s="724"/>
      <c r="C57" s="2230" t="s">
        <v>1938</v>
      </c>
      <c r="D57" s="2230"/>
      <c r="E57" s="2230"/>
      <c r="F57" s="2230"/>
      <c r="G57" s="2230"/>
      <c r="H57" s="2230"/>
      <c r="I57" s="2230"/>
      <c r="J57" s="2230"/>
    </row>
    <row r="58" spans="1:10" s="492" customFormat="1" x14ac:dyDescent="0.35">
      <c r="A58" s="722"/>
      <c r="B58" s="724"/>
      <c r="C58" s="2230"/>
      <c r="D58" s="2230"/>
      <c r="E58" s="2230"/>
      <c r="F58" s="2230"/>
      <c r="G58" s="2230"/>
      <c r="H58" s="2230"/>
      <c r="I58" s="2230"/>
      <c r="J58" s="2230"/>
    </row>
    <row r="59" spans="1:10" s="492" customFormat="1" x14ac:dyDescent="0.35">
      <c r="A59" s="722"/>
      <c r="B59" s="724"/>
      <c r="C59" s="2230"/>
      <c r="D59" s="2230"/>
      <c r="E59" s="2230"/>
      <c r="F59" s="2230"/>
      <c r="G59" s="2230"/>
      <c r="H59" s="2230"/>
      <c r="I59" s="2230"/>
      <c r="J59" s="2230"/>
    </row>
    <row r="60" spans="1:10" s="492" customFormat="1" x14ac:dyDescent="0.35">
      <c r="A60" s="722"/>
      <c r="B60" s="724"/>
      <c r="C60" s="2230"/>
      <c r="D60" s="2230"/>
      <c r="E60" s="2230"/>
      <c r="F60" s="2230"/>
      <c r="G60" s="2230"/>
      <c r="H60" s="2230"/>
      <c r="I60" s="2230"/>
      <c r="J60" s="2230"/>
    </row>
    <row r="61" spans="1:10" s="492" customFormat="1" x14ac:dyDescent="0.35">
      <c r="A61" s="722"/>
      <c r="B61" s="724"/>
      <c r="C61" s="2230"/>
      <c r="D61" s="2230"/>
      <c r="E61" s="2230"/>
      <c r="F61" s="2230"/>
      <c r="G61" s="2230"/>
      <c r="H61" s="2230"/>
      <c r="I61" s="2230"/>
      <c r="J61" s="2230"/>
    </row>
    <row r="62" spans="1:10" s="492" customFormat="1" x14ac:dyDescent="0.35">
      <c r="A62" s="722"/>
      <c r="B62" s="724"/>
      <c r="C62" s="2230"/>
      <c r="D62" s="2230"/>
      <c r="E62" s="2230"/>
      <c r="F62" s="2230"/>
      <c r="G62" s="2230"/>
      <c r="H62" s="2230"/>
      <c r="I62" s="2230"/>
      <c r="J62" s="2230"/>
    </row>
    <row r="63" spans="1:10" s="492" customFormat="1" x14ac:dyDescent="0.35">
      <c r="A63" s="722"/>
      <c r="B63" s="724"/>
      <c r="C63" s="2230"/>
      <c r="D63" s="2230"/>
      <c r="E63" s="2230"/>
      <c r="F63" s="2230"/>
      <c r="G63" s="2230"/>
      <c r="H63" s="2230"/>
      <c r="I63" s="2230"/>
      <c r="J63" s="2230"/>
    </row>
    <row r="64" spans="1:10" s="492" customFormat="1" x14ac:dyDescent="0.35">
      <c r="A64" s="722"/>
      <c r="B64" s="724"/>
      <c r="C64" s="2230"/>
      <c r="D64" s="2230"/>
      <c r="E64" s="2230"/>
      <c r="F64" s="2230"/>
      <c r="G64" s="2230"/>
      <c r="H64" s="2230"/>
      <c r="I64" s="2230"/>
      <c r="J64" s="2230"/>
    </row>
    <row r="65" spans="1:10" x14ac:dyDescent="0.35">
      <c r="A65" s="795"/>
      <c r="B65" s="724"/>
      <c r="C65" s="2230"/>
      <c r="D65" s="2230"/>
      <c r="E65" s="2230"/>
      <c r="F65" s="2230"/>
      <c r="G65" s="2230"/>
      <c r="H65" s="2230"/>
      <c r="I65" s="2230"/>
      <c r="J65" s="2230"/>
    </row>
    <row r="66" spans="1:10" x14ac:dyDescent="0.35">
      <c r="A66" s="795"/>
      <c r="B66" s="724"/>
      <c r="C66" s="726"/>
      <c r="D66" s="726"/>
      <c r="E66" s="726"/>
      <c r="F66" s="726"/>
      <c r="G66" s="726"/>
      <c r="H66" s="726"/>
      <c r="I66" s="726"/>
      <c r="J66" s="726"/>
    </row>
    <row r="67" spans="1:10" x14ac:dyDescent="0.35">
      <c r="A67" s="739" t="s">
        <v>1683</v>
      </c>
      <c r="B67" s="724"/>
      <c r="C67" s="725" t="s">
        <v>1682</v>
      </c>
      <c r="D67" s="727"/>
      <c r="E67" s="726"/>
      <c r="F67" s="726"/>
      <c r="G67" s="726"/>
      <c r="H67" s="726"/>
      <c r="I67" s="726"/>
      <c r="J67" s="726"/>
    </row>
    <row r="68" spans="1:10" s="492" customFormat="1" hidden="1" x14ac:dyDescent="0.35">
      <c r="A68" s="795"/>
      <c r="B68" s="724"/>
      <c r="C68" s="725"/>
      <c r="D68" s="727"/>
      <c r="E68" s="726"/>
      <c r="F68" s="726"/>
      <c r="G68" s="726"/>
      <c r="H68" s="726"/>
      <c r="I68" s="726"/>
      <c r="J68" s="726"/>
    </row>
    <row r="69" spans="1:10" ht="15.75" customHeight="1" x14ac:dyDescent="0.35">
      <c r="B69" s="724"/>
      <c r="C69" s="2233" t="str">
        <f>"Pengukuran adalah proses penetapan nilai uang untuk mengakui dan memasukkan setiap pos dalam laporan keuangan. Dasar pengukuran yang diterapkan   "&amp;Input!$M$13&amp;" dalam penyusunan dan penyajian Laporan Keuangan adalah dengan menggunakan nilai perolehan historis."</f>
        <v>Pengukuran adalah proses penetapan nilai uang untuk mengakui dan memasukkan setiap pos dalam laporan keuangan. Dasar pengukuran yang diterapkan   BALAI PELESTARIAN NILAI BUDAYA BALI dalam penyusunan dan penyajian Laporan Keuangan adalah dengan menggunakan nilai perolehan historis.</v>
      </c>
      <c r="D69" s="2233"/>
      <c r="E69" s="2233"/>
      <c r="F69" s="2233"/>
      <c r="G69" s="2233"/>
      <c r="H69" s="2233"/>
      <c r="I69" s="2233"/>
      <c r="J69" s="2233"/>
    </row>
    <row r="70" spans="1:10" s="492" customFormat="1" x14ac:dyDescent="0.35">
      <c r="A70" s="739"/>
      <c r="B70" s="724"/>
      <c r="C70" s="2233"/>
      <c r="D70" s="2233"/>
      <c r="E70" s="2233"/>
      <c r="F70" s="2233"/>
      <c r="G70" s="2233"/>
      <c r="H70" s="2233"/>
      <c r="I70" s="2233"/>
      <c r="J70" s="2233"/>
    </row>
    <row r="71" spans="1:10" s="492" customFormat="1" x14ac:dyDescent="0.35">
      <c r="A71" s="739"/>
      <c r="B71" s="724"/>
      <c r="C71" s="2233"/>
      <c r="D71" s="2233"/>
      <c r="E71" s="2233"/>
      <c r="F71" s="2233"/>
      <c r="G71" s="2233"/>
      <c r="H71" s="2233"/>
      <c r="I71" s="2233"/>
      <c r="J71" s="2233"/>
    </row>
    <row r="72" spans="1:10" s="492" customFormat="1" x14ac:dyDescent="0.35">
      <c r="A72" s="739"/>
      <c r="B72" s="724"/>
      <c r="C72" s="2233"/>
      <c r="D72" s="2233"/>
      <c r="E72" s="2233"/>
      <c r="F72" s="2233"/>
      <c r="G72" s="2233"/>
      <c r="H72" s="2233"/>
      <c r="I72" s="2233"/>
      <c r="J72" s="2233"/>
    </row>
    <row r="73" spans="1:10" s="492" customFormat="1" x14ac:dyDescent="0.35">
      <c r="A73" s="739"/>
      <c r="B73" s="724"/>
      <c r="C73" s="2233"/>
      <c r="D73" s="2233"/>
      <c r="E73" s="2233"/>
      <c r="F73" s="2233"/>
      <c r="G73" s="2233"/>
      <c r="H73" s="2233"/>
      <c r="I73" s="2233"/>
      <c r="J73" s="2233"/>
    </row>
    <row r="74" spans="1:10" ht="4.5" customHeight="1" x14ac:dyDescent="0.35">
      <c r="A74" s="795"/>
      <c r="B74" s="724"/>
      <c r="C74" s="1363"/>
      <c r="D74" s="1363"/>
      <c r="E74" s="1363"/>
      <c r="F74" s="1363"/>
      <c r="G74" s="1363"/>
      <c r="H74" s="1363"/>
      <c r="I74" s="1363"/>
      <c r="J74" s="1363"/>
    </row>
    <row r="75" spans="1:10" ht="15.75" customHeight="1" x14ac:dyDescent="0.35">
      <c r="A75" s="795"/>
      <c r="B75" s="724"/>
      <c r="C75" s="2192" t="s">
        <v>2226</v>
      </c>
      <c r="D75" s="2192"/>
      <c r="E75" s="2192"/>
      <c r="F75" s="2192"/>
      <c r="G75" s="2192"/>
      <c r="H75" s="2192"/>
      <c r="I75" s="2192"/>
      <c r="J75" s="2192"/>
    </row>
    <row r="76" spans="1:10" s="492" customFormat="1" x14ac:dyDescent="0.35">
      <c r="A76" s="795"/>
      <c r="B76" s="724"/>
      <c r="C76" s="2192"/>
      <c r="D76" s="2192"/>
      <c r="E76" s="2192"/>
      <c r="F76" s="2192"/>
      <c r="G76" s="2192"/>
      <c r="H76" s="2192"/>
      <c r="I76" s="2192"/>
      <c r="J76" s="2192"/>
    </row>
    <row r="77" spans="1:10" s="492" customFormat="1" x14ac:dyDescent="0.35">
      <c r="A77" s="795"/>
      <c r="B77" s="724"/>
      <c r="C77" s="2192"/>
      <c r="D77" s="2192"/>
      <c r="E77" s="2192"/>
      <c r="F77" s="2192"/>
      <c r="G77" s="2192"/>
      <c r="H77" s="2192"/>
      <c r="I77" s="2192"/>
      <c r="J77" s="2192"/>
    </row>
    <row r="78" spans="1:10" s="492" customFormat="1" x14ac:dyDescent="0.35">
      <c r="A78" s="795"/>
      <c r="B78" s="724"/>
      <c r="C78" s="2192"/>
      <c r="D78" s="2192"/>
      <c r="E78" s="2192"/>
      <c r="F78" s="2192"/>
      <c r="G78" s="2192"/>
      <c r="H78" s="2192"/>
      <c r="I78" s="2192"/>
      <c r="J78" s="2192"/>
    </row>
    <row r="79" spans="1:10" s="492" customFormat="1" ht="24" customHeight="1" x14ac:dyDescent="0.35">
      <c r="A79" s="795"/>
      <c r="B79" s="724"/>
      <c r="C79" s="2192"/>
      <c r="D79" s="2192"/>
      <c r="E79" s="2192"/>
      <c r="F79" s="2192"/>
      <c r="G79" s="2192"/>
      <c r="H79" s="2192"/>
      <c r="I79" s="2192"/>
      <c r="J79" s="2192"/>
    </row>
    <row r="80" spans="1:10" s="492" customFormat="1" x14ac:dyDescent="0.35">
      <c r="A80" s="795"/>
      <c r="B80" s="724"/>
      <c r="C80" s="2192" t="s">
        <v>2227</v>
      </c>
      <c r="D80" s="2192"/>
      <c r="E80" s="2192"/>
      <c r="F80" s="2192"/>
      <c r="G80" s="2192"/>
      <c r="H80" s="2192"/>
      <c r="I80" s="2192"/>
      <c r="J80" s="2192"/>
    </row>
    <row r="81" spans="1:12" s="492" customFormat="1" x14ac:dyDescent="0.35">
      <c r="A81" s="795"/>
      <c r="B81" s="724"/>
      <c r="C81" s="2192"/>
      <c r="D81" s="2192"/>
      <c r="E81" s="2192"/>
      <c r="F81" s="2192"/>
      <c r="G81" s="2192"/>
      <c r="H81" s="2192"/>
      <c r="I81" s="2192"/>
      <c r="J81" s="2192"/>
    </row>
    <row r="82" spans="1:12" x14ac:dyDescent="0.35">
      <c r="A82" s="795"/>
      <c r="B82" s="724"/>
      <c r="C82" s="2192"/>
      <c r="D82" s="2192"/>
      <c r="E82" s="2192"/>
      <c r="F82" s="2192"/>
      <c r="G82" s="2192"/>
      <c r="H82" s="2192"/>
      <c r="I82" s="2192"/>
      <c r="J82" s="2192"/>
    </row>
    <row r="83" spans="1:12" ht="11.25" customHeight="1" x14ac:dyDescent="0.35">
      <c r="A83" s="795"/>
      <c r="B83" s="724"/>
      <c r="C83" s="728"/>
      <c r="D83" s="2192"/>
      <c r="E83" s="2192"/>
      <c r="F83" s="2192"/>
      <c r="G83" s="2192"/>
      <c r="H83" s="2192"/>
      <c r="I83" s="2192"/>
      <c r="J83" s="2192"/>
    </row>
    <row r="84" spans="1:12" ht="19.5" customHeight="1" x14ac:dyDescent="0.35">
      <c r="A84" s="739" t="s">
        <v>2228</v>
      </c>
      <c r="B84" s="724"/>
      <c r="C84" s="725" t="s">
        <v>1880</v>
      </c>
      <c r="D84" s="726"/>
      <c r="E84" s="726"/>
      <c r="F84" s="726"/>
      <c r="G84" s="726"/>
      <c r="H84" s="726"/>
      <c r="I84" s="726"/>
      <c r="J84" s="726"/>
    </row>
    <row r="85" spans="1:12" s="492" customFormat="1" hidden="1" x14ac:dyDescent="0.35">
      <c r="A85" s="795"/>
      <c r="B85" s="724"/>
      <c r="C85" s="725"/>
      <c r="D85" s="726"/>
      <c r="E85" s="726"/>
      <c r="F85" s="726"/>
      <c r="G85" s="726"/>
      <c r="H85" s="726"/>
      <c r="I85" s="726"/>
      <c r="J85" s="726"/>
    </row>
    <row r="86" spans="1:12" x14ac:dyDescent="0.35">
      <c r="B86" s="724"/>
      <c r="C86" s="2244" t="str">
        <f>"Penyusunan dan penyajian Laporan Keuangan "&amp;Input!$L$24&amp;" telah mengacu pada Standar Akuntansi Pemerintahan (SAP). "&amp;"Kebijakan akuntansi merupakan prinsip-prinsip, dasar-dasar, konvensi-konvensi, aturan-aturan, dan praktik-praktik spesifik yang dipilih oleh suatu entitas pelaporan dalam penyusunan dan penyajian laporan keuangan. "&amp;"Kebijakan akuntansi yang diterapkan dalam laporan keuangan ini adalah merupakan kebijakan yang ditetapkan oleh "&amp;Input!M11&amp;" yang merupakan entitas pelaporan dari "&amp;Input!M13&amp;". Disamping itu, "&amp;"dalam penyusunannya telah diterapkan kaidah-kaidah pengelolaan keuangan yang sehat di lingkungan pemerintahan."</f>
        <v>Penyusunan dan penyajian Laporan Keuangan TA 2019 telah mengacu pada Standar Akuntansi Pemerintahan (SAP). Kebijakan akuntansi merupakan prinsip-prinsip, dasar-dasar, konvensi-konvensi, aturan-aturan, dan praktik-praktik spesifik yang dipilih oleh suatu entitas pelaporan dalam penyusunan dan penyajian laporan keuangan. Kebijakan akuntansi yang diterapkan dalam laporan keuangan ini adalah merupakan kebijakan yang ditetapkan oleh KEMENTERIAN PENDIDIKAN DAN KEBUDAYAAN yang merupakan entitas pelaporan dari BALAI PELESTARIAN NILAI BUDAYA BALI. Disamping itu, dalam penyusunannya telah diterapkan kaidah-kaidah pengelolaan keuangan yang sehat di lingkungan pemerintahan.</v>
      </c>
      <c r="D86" s="2244"/>
      <c r="E86" s="2244"/>
      <c r="F86" s="2244"/>
      <c r="G86" s="2244"/>
      <c r="H86" s="2244"/>
      <c r="I86" s="2244"/>
      <c r="J86" s="2244"/>
      <c r="L86" s="588"/>
    </row>
    <row r="87" spans="1:12" s="492" customFormat="1" x14ac:dyDescent="0.35">
      <c r="A87" s="795"/>
      <c r="B87" s="724"/>
      <c r="C87" s="2244"/>
      <c r="D87" s="2244"/>
      <c r="E87" s="2244"/>
      <c r="F87" s="2244"/>
      <c r="G87" s="2244"/>
      <c r="H87" s="2244"/>
      <c r="I87" s="2244"/>
      <c r="J87" s="2244"/>
      <c r="L87" s="588"/>
    </row>
    <row r="88" spans="1:12" s="492" customFormat="1" x14ac:dyDescent="0.35">
      <c r="A88" s="795"/>
      <c r="B88" s="724"/>
      <c r="C88" s="2244"/>
      <c r="D88" s="2244"/>
      <c r="E88" s="2244"/>
      <c r="F88" s="2244"/>
      <c r="G88" s="2244"/>
      <c r="H88" s="2244"/>
      <c r="I88" s="2244"/>
      <c r="J88" s="2244"/>
      <c r="L88" s="588"/>
    </row>
    <row r="89" spans="1:12" s="492" customFormat="1" x14ac:dyDescent="0.35">
      <c r="A89" s="795"/>
      <c r="B89" s="724"/>
      <c r="C89" s="2244"/>
      <c r="D89" s="2244"/>
      <c r="E89" s="2244"/>
      <c r="F89" s="2244"/>
      <c r="G89" s="2244"/>
      <c r="H89" s="2244"/>
      <c r="I89" s="2244"/>
      <c r="J89" s="2244"/>
      <c r="L89" s="588"/>
    </row>
    <row r="90" spans="1:12" s="492" customFormat="1" x14ac:dyDescent="0.35">
      <c r="A90" s="795"/>
      <c r="B90" s="724"/>
      <c r="C90" s="2244"/>
      <c r="D90" s="2244"/>
      <c r="E90" s="2244"/>
      <c r="F90" s="2244"/>
      <c r="G90" s="2244"/>
      <c r="H90" s="2244"/>
      <c r="I90" s="2244"/>
      <c r="J90" s="2244"/>
      <c r="L90" s="588"/>
    </row>
    <row r="91" spans="1:12" s="492" customFormat="1" x14ac:dyDescent="0.35">
      <c r="A91" s="795"/>
      <c r="B91" s="724"/>
      <c r="C91" s="2244"/>
      <c r="D91" s="2244"/>
      <c r="E91" s="2244"/>
      <c r="F91" s="2244"/>
      <c r="G91" s="2244"/>
      <c r="H91" s="2244"/>
      <c r="I91" s="2244"/>
      <c r="J91" s="2244"/>
      <c r="L91" s="588"/>
    </row>
    <row r="92" spans="1:12" s="492" customFormat="1" x14ac:dyDescent="0.35">
      <c r="A92" s="795"/>
      <c r="B92" s="724"/>
      <c r="C92" s="2244"/>
      <c r="D92" s="2244"/>
      <c r="E92" s="2244"/>
      <c r="F92" s="2244"/>
      <c r="G92" s="2244"/>
      <c r="H92" s="2244"/>
      <c r="I92" s="2244"/>
      <c r="J92" s="2244"/>
      <c r="L92" s="588"/>
    </row>
    <row r="93" spans="1:12" s="492" customFormat="1" x14ac:dyDescent="0.35">
      <c r="A93" s="795"/>
      <c r="B93" s="724"/>
      <c r="C93" s="2244"/>
      <c r="D93" s="2244"/>
      <c r="E93" s="2244"/>
      <c r="F93" s="2244"/>
      <c r="G93" s="2244"/>
      <c r="H93" s="2244"/>
      <c r="I93" s="2244"/>
      <c r="J93" s="2244"/>
      <c r="L93" s="588"/>
    </row>
    <row r="94" spans="1:12" s="492" customFormat="1" x14ac:dyDescent="0.35">
      <c r="A94" s="795"/>
      <c r="B94" s="724"/>
      <c r="C94" s="2244"/>
      <c r="D94" s="2244"/>
      <c r="E94" s="2244"/>
      <c r="F94" s="2244"/>
      <c r="G94" s="2244"/>
      <c r="H94" s="2244"/>
      <c r="I94" s="2244"/>
      <c r="J94" s="2244"/>
      <c r="L94" s="588"/>
    </row>
    <row r="95" spans="1:12" s="492" customFormat="1" x14ac:dyDescent="0.35">
      <c r="A95" s="795"/>
      <c r="B95" s="724"/>
      <c r="C95" s="2244"/>
      <c r="D95" s="2244"/>
      <c r="E95" s="2244"/>
      <c r="F95" s="2244"/>
      <c r="G95" s="2244"/>
      <c r="H95" s="2244"/>
      <c r="I95" s="2244"/>
      <c r="J95" s="2244"/>
      <c r="L95" s="588"/>
    </row>
    <row r="96" spans="1:12" ht="17.25" customHeight="1" x14ac:dyDescent="0.35">
      <c r="A96" s="795"/>
      <c r="B96" s="724"/>
      <c r="C96" s="2118"/>
      <c r="D96" s="2118"/>
      <c r="E96" s="2118"/>
      <c r="F96" s="2118"/>
      <c r="G96" s="2118"/>
      <c r="H96" s="2118"/>
      <c r="I96" s="2118"/>
      <c r="J96" s="2118"/>
    </row>
    <row r="97" spans="1:10" x14ac:dyDescent="0.35">
      <c r="A97" s="795"/>
      <c r="B97" s="724"/>
      <c r="C97" s="2192" t="str">
        <f>"Kebijakan-kebijakan akuntansi yang penting yang digunakan dalam penyusunan Laporan Keuangan  "&amp;Input!$M$13&amp;" adalah sebagai berikut :"</f>
        <v>Kebijakan-kebijakan akuntansi yang penting yang digunakan dalam penyusunan Laporan Keuangan  BALAI PELESTARIAN NILAI BUDAYA BALI adalah sebagai berikut :</v>
      </c>
      <c r="D97" s="2192"/>
      <c r="E97" s="2192"/>
      <c r="F97" s="2192"/>
      <c r="G97" s="2192"/>
      <c r="H97" s="2192"/>
      <c r="I97" s="2192"/>
      <c r="J97" s="2192"/>
    </row>
    <row r="98" spans="1:10" s="492" customFormat="1" x14ac:dyDescent="0.35">
      <c r="A98" s="795"/>
      <c r="B98" s="724"/>
      <c r="C98" s="2192"/>
      <c r="D98" s="2192"/>
      <c r="E98" s="2192"/>
      <c r="F98" s="2192"/>
      <c r="G98" s="2192"/>
      <c r="H98" s="2192"/>
      <c r="I98" s="2192"/>
      <c r="J98" s="2192"/>
    </row>
    <row r="99" spans="1:10" s="492" customFormat="1" x14ac:dyDescent="0.35">
      <c r="A99" s="795"/>
      <c r="B99" s="724"/>
      <c r="C99" s="2192"/>
      <c r="D99" s="2192"/>
      <c r="E99" s="2192"/>
      <c r="F99" s="2192"/>
      <c r="G99" s="2192"/>
      <c r="H99" s="2192"/>
      <c r="I99" s="2192"/>
      <c r="J99" s="2192"/>
    </row>
    <row r="100" spans="1:10" ht="10.5" customHeight="1" x14ac:dyDescent="0.35">
      <c r="A100" s="795"/>
      <c r="B100" s="724"/>
      <c r="C100" s="2118"/>
      <c r="D100" s="2118"/>
      <c r="E100" s="2118"/>
      <c r="F100" s="2118"/>
      <c r="G100" s="2118"/>
      <c r="H100" s="2118"/>
      <c r="I100" s="2118"/>
      <c r="J100" s="2118"/>
    </row>
    <row r="101" spans="1:10" x14ac:dyDescent="0.35">
      <c r="A101" s="796" t="s">
        <v>1684</v>
      </c>
      <c r="B101" s="724"/>
      <c r="C101" s="797" t="s">
        <v>1939</v>
      </c>
      <c r="D101" s="798" t="s">
        <v>1684</v>
      </c>
      <c r="E101" s="720"/>
      <c r="F101" s="726"/>
      <c r="G101" s="726"/>
      <c r="H101" s="726"/>
      <c r="I101" s="726"/>
      <c r="J101" s="726"/>
    </row>
    <row r="102" spans="1:10" x14ac:dyDescent="0.35">
      <c r="A102" s="795"/>
      <c r="B102" s="724"/>
      <c r="C102" s="824" t="s">
        <v>1206</v>
      </c>
      <c r="D102" s="2192" t="s">
        <v>1685</v>
      </c>
      <c r="E102" s="2192"/>
      <c r="F102" s="2192"/>
      <c r="G102" s="2192"/>
      <c r="H102" s="2192"/>
      <c r="I102" s="2192"/>
      <c r="J102" s="2192"/>
    </row>
    <row r="103" spans="1:10" s="492" customFormat="1" x14ac:dyDescent="0.35">
      <c r="A103" s="795"/>
      <c r="B103" s="724"/>
      <c r="C103" s="824"/>
      <c r="D103" s="2118"/>
      <c r="E103" s="2118"/>
      <c r="F103" s="2118"/>
      <c r="G103" s="2118"/>
      <c r="H103" s="2118"/>
      <c r="I103" s="2118"/>
      <c r="J103" s="2118"/>
    </row>
    <row r="104" spans="1:10" x14ac:dyDescent="0.35">
      <c r="A104" s="795"/>
      <c r="B104" s="724"/>
      <c r="C104" s="824" t="s">
        <v>1206</v>
      </c>
      <c r="D104" s="2192" t="s">
        <v>1686</v>
      </c>
      <c r="E104" s="2192"/>
      <c r="F104" s="2192"/>
      <c r="G104" s="2192"/>
      <c r="H104" s="2192"/>
      <c r="I104" s="2192"/>
      <c r="J104" s="2192"/>
    </row>
    <row r="105" spans="1:10" s="492" customFormat="1" x14ac:dyDescent="0.35">
      <c r="A105" s="795"/>
      <c r="B105" s="724"/>
      <c r="C105" s="824"/>
      <c r="D105" s="2192"/>
      <c r="E105" s="2192"/>
      <c r="F105" s="2192"/>
      <c r="G105" s="2192"/>
      <c r="H105" s="2192"/>
      <c r="I105" s="2192"/>
      <c r="J105" s="2192"/>
    </row>
    <row r="106" spans="1:10" s="492" customFormat="1" x14ac:dyDescent="0.35">
      <c r="A106" s="795"/>
      <c r="B106" s="724"/>
      <c r="C106" s="824"/>
      <c r="D106" s="2118"/>
      <c r="E106" s="2118"/>
      <c r="F106" s="2118"/>
      <c r="G106" s="2118"/>
      <c r="H106" s="2118"/>
      <c r="I106" s="2118"/>
      <c r="J106" s="2118"/>
    </row>
    <row r="107" spans="1:10" x14ac:dyDescent="0.35">
      <c r="A107" s="795"/>
      <c r="B107" s="724"/>
      <c r="C107" s="824" t="s">
        <v>1206</v>
      </c>
      <c r="D107" s="2230" t="s">
        <v>1687</v>
      </c>
      <c r="E107" s="2230"/>
      <c r="F107" s="2230"/>
      <c r="G107" s="2230"/>
      <c r="H107" s="2230"/>
      <c r="I107" s="2230"/>
      <c r="J107" s="2230"/>
    </row>
    <row r="108" spans="1:10" ht="7.5" customHeight="1" x14ac:dyDescent="0.35">
      <c r="A108" s="795"/>
      <c r="B108" s="724"/>
      <c r="C108" s="728"/>
      <c r="D108" s="723"/>
      <c r="E108" s="723"/>
      <c r="F108" s="723"/>
      <c r="G108" s="723"/>
      <c r="H108" s="723"/>
      <c r="I108" s="723"/>
      <c r="J108" s="723"/>
    </row>
    <row r="109" spans="1:10" ht="19.5" customHeight="1" x14ac:dyDescent="0.35">
      <c r="A109" s="796" t="s">
        <v>1689</v>
      </c>
      <c r="B109" s="724"/>
      <c r="C109" s="740" t="s">
        <v>1688</v>
      </c>
      <c r="D109" s="2243" t="s">
        <v>1689</v>
      </c>
      <c r="E109" s="2243"/>
      <c r="F109" s="2243"/>
      <c r="G109" s="2243"/>
      <c r="H109" s="2243"/>
      <c r="I109" s="2243"/>
      <c r="J109" s="2243"/>
    </row>
    <row r="110" spans="1:10" ht="5.25" hidden="1" customHeight="1" x14ac:dyDescent="0.35">
      <c r="A110" s="795"/>
      <c r="B110" s="724"/>
      <c r="C110" s="728"/>
      <c r="D110" s="723"/>
      <c r="E110" s="723"/>
      <c r="F110" s="723"/>
      <c r="G110" s="723"/>
      <c r="H110" s="723"/>
      <c r="I110" s="723"/>
      <c r="J110" s="723"/>
    </row>
    <row r="111" spans="1:10" x14ac:dyDescent="0.35">
      <c r="B111" s="724"/>
      <c r="C111" s="824" t="s">
        <v>1206</v>
      </c>
      <c r="D111" s="2192" t="s">
        <v>1690</v>
      </c>
      <c r="E111" s="2192"/>
      <c r="F111" s="2192"/>
      <c r="G111" s="2192"/>
      <c r="H111" s="2192"/>
      <c r="I111" s="2192"/>
      <c r="J111" s="2192"/>
    </row>
    <row r="112" spans="1:10" s="492" customFormat="1" x14ac:dyDescent="0.35">
      <c r="A112" s="796"/>
      <c r="B112" s="724"/>
      <c r="C112" s="824"/>
      <c r="D112" s="2192"/>
      <c r="E112" s="2192"/>
      <c r="F112" s="2192"/>
      <c r="G112" s="2192"/>
      <c r="H112" s="2192"/>
      <c r="I112" s="2192"/>
      <c r="J112" s="2192"/>
    </row>
    <row r="113" spans="1:10" s="492" customFormat="1" x14ac:dyDescent="0.35">
      <c r="A113" s="796"/>
      <c r="B113" s="724"/>
      <c r="C113" s="824"/>
      <c r="D113" s="2118"/>
      <c r="E113" s="2118"/>
      <c r="F113" s="2118"/>
      <c r="G113" s="2118"/>
      <c r="H113" s="2118"/>
      <c r="I113" s="2118"/>
      <c r="J113" s="2118"/>
    </row>
    <row r="114" spans="1:10" x14ac:dyDescent="0.35">
      <c r="A114" s="795"/>
      <c r="B114" s="724"/>
      <c r="C114" s="824" t="s">
        <v>1206</v>
      </c>
      <c r="D114" s="2192" t="str">
        <f>"Pendapatan-LO diakui pada saat  timbulnya hak  atas pendapatan dan/atau Pendapatan direalisasi, yaitu adanya aliran masuk sumber daya ekonomi. Secara khusus pengakuan pendapatan-LO pada Badan Akuntansi dan Pelaporan Keuangan adalah sebagai berikut :"</f>
        <v>Pendapatan-LO diakui pada saat  timbulnya hak  atas pendapatan dan/atau Pendapatan direalisasi, yaitu adanya aliran masuk sumber daya ekonomi. Secara khusus pengakuan pendapatan-LO pada Badan Akuntansi dan Pelaporan Keuangan adalah sebagai berikut :</v>
      </c>
      <c r="E114" s="2192"/>
      <c r="F114" s="2192"/>
      <c r="G114" s="2192"/>
      <c r="H114" s="2192"/>
      <c r="I114" s="2192"/>
      <c r="J114" s="2192"/>
    </row>
    <row r="115" spans="1:10" s="492" customFormat="1" x14ac:dyDescent="0.35">
      <c r="A115" s="795"/>
      <c r="B115" s="724"/>
      <c r="C115" s="824"/>
      <c r="D115" s="2192"/>
      <c r="E115" s="2192"/>
      <c r="F115" s="2192"/>
      <c r="G115" s="2192"/>
      <c r="H115" s="2192"/>
      <c r="I115" s="2192"/>
      <c r="J115" s="2192"/>
    </row>
    <row r="116" spans="1:10" s="492" customFormat="1" ht="33" customHeight="1" x14ac:dyDescent="0.35">
      <c r="A116" s="795"/>
      <c r="B116" s="724"/>
      <c r="C116" s="824"/>
      <c r="D116" s="2118"/>
      <c r="E116" s="2118"/>
      <c r="F116" s="2118"/>
      <c r="G116" s="2118"/>
      <c r="H116" s="2118"/>
      <c r="I116" s="2118"/>
      <c r="J116" s="2118"/>
    </row>
    <row r="117" spans="1:10" s="492" customFormat="1" ht="31.5" customHeight="1" x14ac:dyDescent="0.35">
      <c r="A117" s="795"/>
      <c r="B117" s="724"/>
      <c r="C117" s="824"/>
      <c r="D117" s="1376" t="s">
        <v>2138</v>
      </c>
      <c r="E117" s="2242" t="s">
        <v>2137</v>
      </c>
      <c r="F117" s="2242"/>
      <c r="G117" s="2242"/>
      <c r="H117" s="2242"/>
      <c r="I117" s="2242"/>
      <c r="J117" s="2242"/>
    </row>
    <row r="118" spans="1:10" s="492" customFormat="1" ht="31.5" customHeight="1" x14ac:dyDescent="0.35">
      <c r="A118" s="795"/>
      <c r="B118" s="724"/>
      <c r="C118" s="824"/>
      <c r="D118" s="1376" t="s">
        <v>2138</v>
      </c>
      <c r="E118" s="2242" t="s">
        <v>2210</v>
      </c>
      <c r="F118" s="2242"/>
      <c r="G118" s="2242"/>
      <c r="H118" s="2242"/>
      <c r="I118" s="2242"/>
      <c r="J118" s="2242"/>
    </row>
    <row r="119" spans="1:10" s="492" customFormat="1" ht="31.5" customHeight="1" x14ac:dyDescent="0.35">
      <c r="A119" s="795"/>
      <c r="B119" s="724"/>
      <c r="C119" s="824"/>
      <c r="D119" s="1376" t="s">
        <v>2138</v>
      </c>
      <c r="E119" s="2242" t="s">
        <v>2136</v>
      </c>
      <c r="F119" s="2242"/>
      <c r="G119" s="2242"/>
      <c r="H119" s="2242"/>
      <c r="I119" s="2242"/>
      <c r="J119" s="2242"/>
    </row>
    <row r="120" spans="1:10" x14ac:dyDescent="0.35">
      <c r="A120" s="795"/>
      <c r="B120" s="724"/>
      <c r="C120" s="824" t="s">
        <v>1206</v>
      </c>
      <c r="D120" s="2192" t="s">
        <v>1691</v>
      </c>
      <c r="E120" s="2192"/>
      <c r="F120" s="2192"/>
      <c r="G120" s="2192"/>
      <c r="H120" s="2192"/>
      <c r="I120" s="2192"/>
      <c r="J120" s="2192"/>
    </row>
    <row r="121" spans="1:10" s="492" customFormat="1" x14ac:dyDescent="0.35">
      <c r="A121" s="795"/>
      <c r="B121" s="724"/>
      <c r="C121" s="824"/>
      <c r="D121" s="2118"/>
      <c r="E121" s="2118"/>
      <c r="F121" s="2118"/>
      <c r="G121" s="2118"/>
      <c r="H121" s="2118"/>
      <c r="I121" s="2118"/>
      <c r="J121" s="2118"/>
    </row>
    <row r="122" spans="1:10" s="492" customFormat="1" x14ac:dyDescent="0.35">
      <c r="A122" s="795"/>
      <c r="B122" s="724"/>
      <c r="C122" s="824"/>
      <c r="D122" s="2118"/>
      <c r="E122" s="2118"/>
      <c r="F122" s="2118"/>
      <c r="G122" s="2118"/>
      <c r="H122" s="2118"/>
      <c r="I122" s="2118"/>
      <c r="J122" s="2118"/>
    </row>
    <row r="123" spans="1:10" ht="18.75" customHeight="1" x14ac:dyDescent="0.35">
      <c r="A123" s="795"/>
      <c r="B123" s="724"/>
      <c r="C123" s="824" t="s">
        <v>1206</v>
      </c>
      <c r="D123" s="2203" t="s">
        <v>1692</v>
      </c>
      <c r="E123" s="2203"/>
      <c r="F123" s="2203"/>
      <c r="G123" s="2203"/>
      <c r="H123" s="2203"/>
      <c r="I123" s="2203"/>
      <c r="J123" s="2203"/>
    </row>
    <row r="124" spans="1:10" ht="6.75" customHeight="1" x14ac:dyDescent="0.35">
      <c r="A124" s="795"/>
      <c r="B124" s="724"/>
      <c r="C124" s="729"/>
      <c r="D124" s="723"/>
      <c r="E124" s="723"/>
      <c r="F124" s="723"/>
      <c r="G124" s="723"/>
      <c r="H124" s="723"/>
      <c r="I124" s="723"/>
      <c r="J124" s="723"/>
    </row>
    <row r="125" spans="1:10" x14ac:dyDescent="0.35">
      <c r="A125" s="795" t="s">
        <v>95</v>
      </c>
      <c r="B125" s="724"/>
      <c r="C125" s="797" t="s">
        <v>1693</v>
      </c>
      <c r="D125" s="798" t="s">
        <v>95</v>
      </c>
      <c r="E125" s="798"/>
      <c r="F125" s="720"/>
      <c r="G125" s="720"/>
      <c r="H125" s="720"/>
      <c r="I125" s="720"/>
      <c r="J125" s="720"/>
    </row>
    <row r="126" spans="1:10" ht="5.25" hidden="1" customHeight="1" x14ac:dyDescent="0.35">
      <c r="A126" s="795"/>
      <c r="B126" s="724"/>
      <c r="C126" s="797"/>
      <c r="D126" s="798"/>
      <c r="E126" s="798"/>
      <c r="F126" s="720"/>
      <c r="G126" s="720"/>
      <c r="H126" s="720"/>
      <c r="I126" s="720"/>
      <c r="J126" s="720"/>
    </row>
    <row r="127" spans="1:10" x14ac:dyDescent="0.35">
      <c r="B127" s="724"/>
      <c r="C127" s="821" t="s">
        <v>1694</v>
      </c>
      <c r="D127" s="2192" t="s">
        <v>2135</v>
      </c>
      <c r="E127" s="2192"/>
      <c r="F127" s="2192"/>
      <c r="G127" s="2192"/>
      <c r="H127" s="2192"/>
      <c r="I127" s="2192"/>
      <c r="J127" s="2192"/>
    </row>
    <row r="128" spans="1:10" x14ac:dyDescent="0.35">
      <c r="A128" s="795"/>
      <c r="B128" s="724"/>
      <c r="C128" s="821"/>
      <c r="D128" s="2192"/>
      <c r="E128" s="2192"/>
      <c r="F128" s="2192"/>
      <c r="G128" s="2192"/>
      <c r="H128" s="2192"/>
      <c r="I128" s="2192"/>
      <c r="J128" s="2192"/>
    </row>
    <row r="129" spans="1:10" s="492" customFormat="1" x14ac:dyDescent="0.35">
      <c r="A129" s="795"/>
      <c r="B129" s="724"/>
      <c r="C129" s="821"/>
      <c r="D129" s="2192"/>
      <c r="E129" s="2192"/>
      <c r="F129" s="2192"/>
      <c r="G129" s="2192"/>
      <c r="H129" s="2192"/>
      <c r="I129" s="2192"/>
      <c r="J129" s="2192"/>
    </row>
    <row r="130" spans="1:10" x14ac:dyDescent="0.35">
      <c r="A130" s="795"/>
      <c r="B130" s="724"/>
      <c r="C130" s="821"/>
      <c r="D130" s="2192"/>
      <c r="E130" s="2192"/>
      <c r="F130" s="2192"/>
      <c r="G130" s="2192"/>
      <c r="H130" s="2192"/>
      <c r="I130" s="2192"/>
      <c r="J130" s="2192"/>
    </row>
    <row r="131" spans="1:10" x14ac:dyDescent="0.35">
      <c r="A131" s="795"/>
      <c r="B131" s="724"/>
      <c r="C131" s="821" t="s">
        <v>1694</v>
      </c>
      <c r="D131" s="720" t="s">
        <v>1695</v>
      </c>
      <c r="E131" s="720"/>
      <c r="F131" s="720"/>
      <c r="G131" s="720"/>
      <c r="H131" s="720"/>
      <c r="I131" s="720"/>
      <c r="J131" s="720"/>
    </row>
    <row r="132" spans="1:10" x14ac:dyDescent="0.35">
      <c r="A132" s="795"/>
      <c r="B132" s="724"/>
      <c r="C132" s="821" t="s">
        <v>1694</v>
      </c>
      <c r="D132" s="2192" t="s">
        <v>96</v>
      </c>
      <c r="E132" s="2192"/>
      <c r="F132" s="2192"/>
      <c r="G132" s="2192"/>
      <c r="H132" s="2192"/>
      <c r="I132" s="2192"/>
      <c r="J132" s="2192"/>
    </row>
    <row r="133" spans="1:10" s="492" customFormat="1" x14ac:dyDescent="0.35">
      <c r="A133" s="795"/>
      <c r="B133" s="724"/>
      <c r="C133" s="821"/>
      <c r="D133" s="2192"/>
      <c r="E133" s="2192"/>
      <c r="F133" s="2192"/>
      <c r="G133" s="2192"/>
      <c r="H133" s="2192"/>
      <c r="I133" s="2192"/>
      <c r="J133" s="2192"/>
    </row>
    <row r="134" spans="1:10" s="492" customFormat="1" x14ac:dyDescent="0.35">
      <c r="A134" s="795"/>
      <c r="B134" s="724"/>
      <c r="C134" s="821"/>
      <c r="D134" s="2192"/>
      <c r="E134" s="2192"/>
      <c r="F134" s="2192"/>
      <c r="G134" s="2192"/>
      <c r="H134" s="2192"/>
      <c r="I134" s="2192"/>
      <c r="J134" s="2192"/>
    </row>
    <row r="135" spans="1:10" x14ac:dyDescent="0.35">
      <c r="A135" s="795"/>
      <c r="B135" s="724"/>
      <c r="C135" s="821"/>
      <c r="D135" s="2192"/>
      <c r="E135" s="2192"/>
      <c r="F135" s="2192"/>
      <c r="G135" s="2192"/>
      <c r="H135" s="2192"/>
      <c r="I135" s="2192"/>
      <c r="J135" s="2192"/>
    </row>
    <row r="136" spans="1:10" x14ac:dyDescent="0.35">
      <c r="A136" s="795"/>
      <c r="B136" s="724"/>
      <c r="C136" s="821" t="s">
        <v>1694</v>
      </c>
      <c r="D136" s="2230" t="s">
        <v>1696</v>
      </c>
      <c r="E136" s="2230"/>
      <c r="F136" s="2230"/>
      <c r="G136" s="2230"/>
      <c r="H136" s="2230"/>
      <c r="I136" s="2230"/>
      <c r="J136" s="2230"/>
    </row>
    <row r="137" spans="1:10" x14ac:dyDescent="0.35">
      <c r="A137" s="795"/>
      <c r="B137" s="724"/>
      <c r="C137" s="821"/>
      <c r="D137" s="2230"/>
      <c r="E137" s="2230"/>
      <c r="F137" s="2230"/>
      <c r="G137" s="2230"/>
      <c r="H137" s="2230"/>
      <c r="I137" s="2230"/>
      <c r="J137" s="2230"/>
    </row>
    <row r="138" spans="1:10" x14ac:dyDescent="0.35">
      <c r="A138" s="795"/>
      <c r="B138" s="724"/>
      <c r="C138" s="821"/>
      <c r="D138" s="2230"/>
      <c r="E138" s="2230"/>
      <c r="F138" s="2230"/>
      <c r="G138" s="2230"/>
      <c r="H138" s="2230"/>
      <c r="I138" s="2230"/>
      <c r="J138" s="2230"/>
    </row>
    <row r="139" spans="1:10" s="492" customFormat="1" ht="6" customHeight="1" x14ac:dyDescent="0.35">
      <c r="A139" s="795"/>
      <c r="B139" s="724"/>
      <c r="C139" s="730"/>
      <c r="D139" s="732"/>
      <c r="E139" s="732"/>
      <c r="F139" s="732"/>
      <c r="G139" s="732"/>
      <c r="H139" s="732"/>
      <c r="I139" s="732"/>
      <c r="J139" s="732"/>
    </row>
    <row r="140" spans="1:10" ht="20.25" customHeight="1" x14ac:dyDescent="0.35">
      <c r="A140" s="799" t="s">
        <v>1699</v>
      </c>
      <c r="B140" s="724"/>
      <c r="C140" s="797" t="s">
        <v>1698</v>
      </c>
      <c r="D140" s="798" t="s">
        <v>1699</v>
      </c>
      <c r="E140" s="798"/>
      <c r="F140" s="748"/>
      <c r="G140" s="748"/>
      <c r="H140" s="748"/>
      <c r="I140" s="748"/>
      <c r="J140" s="748"/>
    </row>
    <row r="141" spans="1:10" ht="8.25" hidden="1" customHeight="1" x14ac:dyDescent="0.35">
      <c r="A141" s="795"/>
      <c r="B141" s="724"/>
      <c r="C141" s="797"/>
      <c r="D141" s="798"/>
      <c r="E141" s="798"/>
      <c r="F141" s="748"/>
      <c r="G141" s="748"/>
      <c r="H141" s="748"/>
      <c r="I141" s="748"/>
      <c r="J141" s="748"/>
    </row>
    <row r="142" spans="1:10" x14ac:dyDescent="0.35">
      <c r="A142" s="796"/>
      <c r="B142" s="724"/>
      <c r="C142" s="821" t="s">
        <v>1694</v>
      </c>
      <c r="D142" s="2241" t="s">
        <v>1935</v>
      </c>
      <c r="E142" s="2241"/>
      <c r="F142" s="2241"/>
      <c r="G142" s="2241"/>
      <c r="H142" s="2241"/>
      <c r="I142" s="2241"/>
      <c r="J142" s="2241"/>
    </row>
    <row r="143" spans="1:10" s="492" customFormat="1" x14ac:dyDescent="0.35">
      <c r="A143" s="796"/>
      <c r="B143" s="724"/>
      <c r="C143" s="821"/>
      <c r="D143" s="2241"/>
      <c r="E143" s="2241"/>
      <c r="F143" s="2241"/>
      <c r="G143" s="2241"/>
      <c r="H143" s="2241"/>
      <c r="I143" s="2241"/>
      <c r="J143" s="2241"/>
    </row>
    <row r="144" spans="1:10" s="492" customFormat="1" x14ac:dyDescent="0.35">
      <c r="A144" s="796"/>
      <c r="B144" s="724"/>
      <c r="C144" s="821"/>
      <c r="D144" s="2118"/>
      <c r="E144" s="2118"/>
      <c r="F144" s="2118"/>
      <c r="G144" s="2118"/>
      <c r="H144" s="2118"/>
      <c r="I144" s="2118"/>
      <c r="J144" s="2118"/>
    </row>
    <row r="145" spans="1:10" x14ac:dyDescent="0.35">
      <c r="A145" s="795"/>
      <c r="B145" s="724"/>
      <c r="C145" s="821" t="s">
        <v>1694</v>
      </c>
      <c r="D145" s="2192" t="s">
        <v>1700</v>
      </c>
      <c r="E145" s="2192"/>
      <c r="F145" s="2192"/>
      <c r="G145" s="2192"/>
      <c r="H145" s="2192"/>
      <c r="I145" s="2192"/>
      <c r="J145" s="2192"/>
    </row>
    <row r="146" spans="1:10" s="492" customFormat="1" x14ac:dyDescent="0.35">
      <c r="A146" s="795"/>
      <c r="B146" s="724"/>
      <c r="C146" s="821"/>
      <c r="D146" s="2118"/>
      <c r="E146" s="2118"/>
      <c r="F146" s="2118"/>
      <c r="G146" s="2118"/>
      <c r="H146" s="2118"/>
      <c r="I146" s="2118"/>
      <c r="J146" s="2118"/>
    </row>
    <row r="147" spans="1:10" x14ac:dyDescent="0.35">
      <c r="A147" s="795"/>
      <c r="B147" s="724"/>
      <c r="C147" s="821" t="s">
        <v>1694</v>
      </c>
      <c r="D147" s="2192" t="s">
        <v>1697</v>
      </c>
      <c r="E147" s="2192"/>
      <c r="F147" s="2192"/>
      <c r="G147" s="2192"/>
      <c r="H147" s="2192"/>
      <c r="I147" s="2192"/>
      <c r="J147" s="2192"/>
    </row>
    <row r="148" spans="1:10" s="492" customFormat="1" x14ac:dyDescent="0.35">
      <c r="A148" s="795"/>
      <c r="B148" s="724"/>
      <c r="C148" s="821"/>
      <c r="D148" s="2192"/>
      <c r="E148" s="2192"/>
      <c r="F148" s="2192"/>
      <c r="G148" s="2192"/>
      <c r="H148" s="2192"/>
      <c r="I148" s="2192"/>
      <c r="J148" s="2192"/>
    </row>
    <row r="149" spans="1:10" s="492" customFormat="1" x14ac:dyDescent="0.35">
      <c r="A149" s="795"/>
      <c r="B149" s="724"/>
      <c r="C149" s="821"/>
      <c r="D149" s="2118"/>
      <c r="E149" s="2118"/>
      <c r="F149" s="2118"/>
      <c r="G149" s="2118"/>
      <c r="H149" s="2118"/>
      <c r="I149" s="2118"/>
      <c r="J149" s="2118"/>
    </row>
    <row r="150" spans="1:10" ht="7.5" customHeight="1" x14ac:dyDescent="0.35">
      <c r="A150" s="795"/>
      <c r="B150" s="724"/>
      <c r="C150" s="730"/>
      <c r="D150" s="748"/>
      <c r="E150" s="748"/>
      <c r="F150" s="748"/>
      <c r="G150" s="748"/>
      <c r="H150" s="748"/>
      <c r="I150" s="748"/>
      <c r="J150" s="748"/>
    </row>
    <row r="151" spans="1:10" ht="20.25" customHeight="1" x14ac:dyDescent="0.35">
      <c r="A151" s="804" t="s">
        <v>48</v>
      </c>
      <c r="B151" s="724"/>
      <c r="C151" s="797" t="s">
        <v>1701</v>
      </c>
      <c r="D151" s="798" t="s">
        <v>48</v>
      </c>
      <c r="E151" s="798"/>
      <c r="F151" s="748"/>
      <c r="G151" s="748"/>
      <c r="H151" s="748"/>
      <c r="I151" s="748"/>
      <c r="J151" s="748"/>
    </row>
    <row r="152" spans="1:10" ht="8.25" hidden="1" customHeight="1" x14ac:dyDescent="0.35">
      <c r="A152" s="795"/>
      <c r="B152" s="724"/>
      <c r="C152" s="797"/>
      <c r="D152" s="798"/>
      <c r="E152" s="798"/>
      <c r="F152" s="748"/>
      <c r="G152" s="748"/>
      <c r="H152" s="748"/>
      <c r="I152" s="748"/>
      <c r="J152" s="748"/>
    </row>
    <row r="153" spans="1:10" ht="20.25" customHeight="1" x14ac:dyDescent="0.35">
      <c r="A153" s="799"/>
      <c r="B153" s="724"/>
      <c r="C153" s="2192" t="s">
        <v>1702</v>
      </c>
      <c r="D153" s="2192"/>
      <c r="E153" s="2192"/>
      <c r="F153" s="2192"/>
      <c r="G153" s="2192"/>
      <c r="H153" s="2192"/>
      <c r="I153" s="2192"/>
      <c r="J153" s="2192"/>
    </row>
    <row r="154" spans="1:10" ht="20.25" customHeight="1" x14ac:dyDescent="0.35">
      <c r="A154" s="795"/>
      <c r="B154" s="724"/>
      <c r="C154" s="2192"/>
      <c r="D154" s="2192"/>
      <c r="E154" s="2192"/>
      <c r="F154" s="2192"/>
      <c r="G154" s="2192"/>
      <c r="H154" s="2192"/>
      <c r="I154" s="2192"/>
      <c r="J154" s="2192"/>
    </row>
    <row r="155" spans="1:10" ht="20.25" customHeight="1" x14ac:dyDescent="0.35">
      <c r="A155" s="799" t="s">
        <v>49</v>
      </c>
      <c r="B155" s="724"/>
      <c r="C155" s="805" t="s">
        <v>1934</v>
      </c>
      <c r="D155" s="798" t="s">
        <v>49</v>
      </c>
      <c r="E155" s="798"/>
      <c r="F155" s="748"/>
      <c r="G155" s="748"/>
      <c r="H155" s="748"/>
      <c r="I155" s="748"/>
      <c r="J155" s="748"/>
    </row>
    <row r="156" spans="1:10" x14ac:dyDescent="0.35">
      <c r="A156" s="795"/>
      <c r="B156" s="724"/>
      <c r="C156" s="821" t="s">
        <v>1694</v>
      </c>
      <c r="D156" s="2192" t="s">
        <v>97</v>
      </c>
      <c r="E156" s="2192"/>
      <c r="F156" s="2192"/>
      <c r="G156" s="2192"/>
      <c r="H156" s="2192"/>
      <c r="I156" s="2192"/>
      <c r="J156" s="2192"/>
    </row>
    <row r="157" spans="1:10" s="492" customFormat="1" x14ac:dyDescent="0.35">
      <c r="A157" s="795"/>
      <c r="B157" s="724"/>
      <c r="C157" s="821"/>
      <c r="D157" s="2192"/>
      <c r="E157" s="2192"/>
      <c r="F157" s="2192"/>
      <c r="G157" s="2192"/>
      <c r="H157" s="2192"/>
      <c r="I157" s="2192"/>
      <c r="J157" s="2192"/>
    </row>
    <row r="158" spans="1:10" s="492" customFormat="1" x14ac:dyDescent="0.35">
      <c r="A158" s="795"/>
      <c r="B158" s="724"/>
      <c r="C158" s="821"/>
      <c r="D158" s="2118"/>
      <c r="E158" s="2118"/>
      <c r="F158" s="2118"/>
      <c r="G158" s="2118"/>
      <c r="H158" s="2118"/>
      <c r="I158" s="2118"/>
      <c r="J158" s="2118"/>
    </row>
    <row r="159" spans="1:10" s="492" customFormat="1" x14ac:dyDescent="0.35">
      <c r="A159" s="795"/>
      <c r="B159" s="724"/>
      <c r="C159" s="821" t="s">
        <v>1694</v>
      </c>
      <c r="D159" s="2192" t="s">
        <v>1940</v>
      </c>
      <c r="E159" s="2192"/>
      <c r="F159" s="2192"/>
      <c r="G159" s="2192"/>
      <c r="H159" s="2192"/>
      <c r="I159" s="2192"/>
      <c r="J159" s="2192"/>
    </row>
    <row r="160" spans="1:10" s="492" customFormat="1" x14ac:dyDescent="0.35">
      <c r="A160" s="795"/>
      <c r="B160" s="724"/>
      <c r="C160" s="821"/>
      <c r="D160" s="2192"/>
      <c r="E160" s="2192"/>
      <c r="F160" s="2192"/>
      <c r="G160" s="2192"/>
      <c r="H160" s="2192"/>
      <c r="I160" s="2192"/>
      <c r="J160" s="2192"/>
    </row>
    <row r="161" spans="1:10" s="492" customFormat="1" x14ac:dyDescent="0.35">
      <c r="A161" s="795"/>
      <c r="B161" s="724"/>
      <c r="C161" s="821"/>
      <c r="D161" s="2118"/>
      <c r="E161" s="2118"/>
      <c r="F161" s="2118"/>
      <c r="G161" s="2118"/>
      <c r="H161" s="2118"/>
      <c r="I161" s="2118"/>
      <c r="J161" s="2118"/>
    </row>
    <row r="162" spans="1:10" s="492" customFormat="1" x14ac:dyDescent="0.35">
      <c r="A162" s="795"/>
      <c r="B162" s="724"/>
      <c r="C162" s="821" t="s">
        <v>1694</v>
      </c>
      <c r="D162" s="2192" t="s">
        <v>1941</v>
      </c>
      <c r="E162" s="2192"/>
      <c r="F162" s="2192"/>
      <c r="G162" s="2192"/>
      <c r="H162" s="2192"/>
      <c r="I162" s="2192"/>
      <c r="J162" s="2192"/>
    </row>
    <row r="163" spans="1:10" s="492" customFormat="1" x14ac:dyDescent="0.35">
      <c r="A163" s="795"/>
      <c r="B163" s="724"/>
      <c r="C163" s="821"/>
      <c r="D163" s="745" t="s">
        <v>1942</v>
      </c>
      <c r="E163" s="2192" t="s">
        <v>1944</v>
      </c>
      <c r="F163" s="2192"/>
      <c r="G163" s="2192"/>
      <c r="H163" s="2192"/>
      <c r="I163" s="2192"/>
      <c r="J163" s="2192"/>
    </row>
    <row r="164" spans="1:10" s="492" customFormat="1" x14ac:dyDescent="0.35">
      <c r="A164" s="795"/>
      <c r="B164" s="724"/>
      <c r="C164" s="821"/>
      <c r="D164" s="745"/>
      <c r="E164" s="2192"/>
      <c r="F164" s="2192"/>
      <c r="G164" s="2192"/>
      <c r="H164" s="2192"/>
      <c r="I164" s="2192"/>
      <c r="J164" s="2192"/>
    </row>
    <row r="165" spans="1:10" s="492" customFormat="1" x14ac:dyDescent="0.35">
      <c r="A165" s="795"/>
      <c r="B165" s="724"/>
      <c r="C165" s="821"/>
      <c r="D165" s="745"/>
      <c r="E165" s="2192"/>
      <c r="F165" s="2192"/>
      <c r="G165" s="2192"/>
      <c r="H165" s="2192"/>
      <c r="I165" s="2192"/>
      <c r="J165" s="2192"/>
    </row>
    <row r="166" spans="1:10" s="492" customFormat="1" x14ac:dyDescent="0.35">
      <c r="A166" s="795"/>
      <c r="B166" s="724"/>
      <c r="C166" s="821"/>
      <c r="D166" s="745"/>
      <c r="E166" s="2192"/>
      <c r="F166" s="2192"/>
      <c r="G166" s="2192"/>
      <c r="H166" s="2192"/>
      <c r="I166" s="2192"/>
      <c r="J166" s="2192"/>
    </row>
    <row r="167" spans="1:10" s="492" customFormat="1" x14ac:dyDescent="0.35">
      <c r="A167" s="795"/>
      <c r="B167" s="724"/>
      <c r="C167" s="821"/>
      <c r="D167" s="745" t="s">
        <v>1943</v>
      </c>
      <c r="E167" s="2192" t="s">
        <v>1945</v>
      </c>
      <c r="F167" s="2192"/>
      <c r="G167" s="2192"/>
      <c r="H167" s="2192"/>
      <c r="I167" s="2192"/>
      <c r="J167" s="2192"/>
    </row>
    <row r="168" spans="1:10" s="492" customFormat="1" x14ac:dyDescent="0.35">
      <c r="A168" s="795"/>
      <c r="B168" s="724"/>
      <c r="C168" s="821"/>
      <c r="D168" s="745"/>
      <c r="E168" s="2192"/>
      <c r="F168" s="2192"/>
      <c r="G168" s="2192"/>
      <c r="H168" s="2192"/>
      <c r="I168" s="2192"/>
      <c r="J168" s="2192"/>
    </row>
    <row r="169" spans="1:10" s="492" customFormat="1" x14ac:dyDescent="0.35">
      <c r="A169" s="795"/>
      <c r="B169" s="724"/>
      <c r="C169" s="821"/>
      <c r="D169" s="745"/>
      <c r="E169" s="2192"/>
      <c r="F169" s="2192"/>
      <c r="G169" s="2192"/>
      <c r="H169" s="2192"/>
      <c r="I169" s="2192"/>
      <c r="J169" s="2192"/>
    </row>
    <row r="170" spans="1:10" s="492" customFormat="1" x14ac:dyDescent="0.35">
      <c r="A170" s="795"/>
      <c r="B170" s="724"/>
      <c r="C170" s="821"/>
      <c r="D170" s="745"/>
      <c r="E170" s="2192"/>
      <c r="F170" s="2192"/>
      <c r="G170" s="2192"/>
      <c r="H170" s="2192"/>
      <c r="I170" s="2192"/>
      <c r="J170" s="2192"/>
    </row>
    <row r="171" spans="1:10" x14ac:dyDescent="0.35">
      <c r="A171" s="795"/>
      <c r="B171" s="724"/>
      <c r="C171" s="821" t="s">
        <v>1694</v>
      </c>
      <c r="D171" s="2192" t="s">
        <v>2139</v>
      </c>
      <c r="E171" s="2192"/>
      <c r="F171" s="2192"/>
      <c r="G171" s="2192"/>
      <c r="H171" s="2192"/>
      <c r="I171" s="2192"/>
      <c r="J171" s="2192"/>
    </row>
    <row r="172" spans="1:10" s="492" customFormat="1" x14ac:dyDescent="0.35">
      <c r="A172" s="795"/>
      <c r="B172" s="724"/>
      <c r="C172" s="821"/>
      <c r="D172" s="2192"/>
      <c r="E172" s="2192"/>
      <c r="F172" s="2192"/>
      <c r="G172" s="2192"/>
      <c r="H172" s="2192"/>
      <c r="I172" s="2192"/>
      <c r="J172" s="2192"/>
    </row>
    <row r="173" spans="1:10" s="492" customFormat="1" x14ac:dyDescent="0.35">
      <c r="A173" s="795"/>
      <c r="B173" s="724"/>
      <c r="C173" s="821"/>
      <c r="D173" s="2192"/>
      <c r="E173" s="2192"/>
      <c r="F173" s="2192"/>
      <c r="G173" s="2192"/>
      <c r="H173" s="2192"/>
      <c r="I173" s="2192"/>
      <c r="J173" s="2192"/>
    </row>
    <row r="174" spans="1:10" s="492" customFormat="1" x14ac:dyDescent="0.35">
      <c r="A174" s="795"/>
      <c r="B174" s="724"/>
      <c r="C174" s="821"/>
      <c r="D174" s="2192"/>
      <c r="E174" s="2192"/>
      <c r="F174" s="2192"/>
      <c r="G174" s="2192"/>
      <c r="H174" s="2192"/>
      <c r="I174" s="2192"/>
      <c r="J174" s="2192"/>
    </row>
    <row r="175" spans="1:10" s="492" customFormat="1" x14ac:dyDescent="0.35">
      <c r="A175" s="795"/>
      <c r="B175" s="724"/>
      <c r="C175" s="821"/>
      <c r="D175" s="2192"/>
      <c r="E175" s="2192"/>
      <c r="F175" s="2192"/>
      <c r="G175" s="2192"/>
      <c r="H175" s="2192"/>
      <c r="I175" s="2192"/>
      <c r="J175" s="2192"/>
    </row>
    <row r="176" spans="1:10" s="492" customFormat="1" x14ac:dyDescent="0.35">
      <c r="A176" s="795"/>
      <c r="B176" s="724"/>
      <c r="C176" s="821"/>
      <c r="D176" s="2118"/>
      <c r="E176" s="2118"/>
      <c r="F176" s="2118"/>
      <c r="G176" s="2118"/>
      <c r="H176" s="2118"/>
      <c r="I176" s="2118"/>
      <c r="J176" s="2118"/>
    </row>
    <row r="177" spans="1:10" s="492" customFormat="1" ht="15.75" customHeight="1" x14ac:dyDescent="0.35">
      <c r="A177" s="795"/>
      <c r="B177" s="724"/>
      <c r="C177" s="821"/>
      <c r="D177" s="2216" t="s">
        <v>101</v>
      </c>
      <c r="E177" s="2217"/>
      <c r="F177" s="2216" t="s">
        <v>45</v>
      </c>
      <c r="G177" s="2220"/>
      <c r="H177" s="2220"/>
      <c r="I177" s="2217"/>
      <c r="J177" s="2222" t="s">
        <v>102</v>
      </c>
    </row>
    <row r="178" spans="1:10" s="492" customFormat="1" ht="15.75" customHeight="1" x14ac:dyDescent="0.35">
      <c r="A178" s="795"/>
      <c r="B178" s="724"/>
      <c r="C178" s="821"/>
      <c r="D178" s="2218"/>
      <c r="E178" s="2219"/>
      <c r="F178" s="2218"/>
      <c r="G178" s="2221"/>
      <c r="H178" s="2221"/>
      <c r="I178" s="2219"/>
      <c r="J178" s="2223"/>
    </row>
    <row r="179" spans="1:10" s="492" customFormat="1" ht="15.75" customHeight="1" x14ac:dyDescent="0.35">
      <c r="A179" s="795"/>
      <c r="B179" s="724"/>
      <c r="C179" s="821"/>
      <c r="D179" s="2205" t="s">
        <v>103</v>
      </c>
      <c r="E179" s="2206"/>
      <c r="F179" s="2194" t="s">
        <v>104</v>
      </c>
      <c r="G179" s="2195"/>
      <c r="H179" s="2195"/>
      <c r="I179" s="2196"/>
      <c r="J179" s="2248">
        <v>5.0000000000000001E-3</v>
      </c>
    </row>
    <row r="180" spans="1:10" s="492" customFormat="1" ht="15.75" customHeight="1" x14ac:dyDescent="0.35">
      <c r="A180" s="795"/>
      <c r="B180" s="724"/>
      <c r="C180" s="821"/>
      <c r="D180" s="2234"/>
      <c r="E180" s="2235"/>
      <c r="F180" s="2245"/>
      <c r="G180" s="2246"/>
      <c r="H180" s="2246"/>
      <c r="I180" s="2247"/>
      <c r="J180" s="2249"/>
    </row>
    <row r="181" spans="1:10" s="492" customFormat="1" ht="15.75" customHeight="1" x14ac:dyDescent="0.35">
      <c r="A181" s="795"/>
      <c r="B181" s="724"/>
      <c r="C181" s="821"/>
      <c r="D181" s="2205" t="s">
        <v>105</v>
      </c>
      <c r="E181" s="2206"/>
      <c r="F181" s="2194" t="s">
        <v>106</v>
      </c>
      <c r="G181" s="2195"/>
      <c r="H181" s="2195"/>
      <c r="I181" s="2196"/>
      <c r="J181" s="2237">
        <v>0.1</v>
      </c>
    </row>
    <row r="182" spans="1:10" s="492" customFormat="1" ht="15.75" customHeight="1" x14ac:dyDescent="0.35">
      <c r="A182" s="795"/>
      <c r="B182" s="724"/>
      <c r="C182" s="821"/>
      <c r="D182" s="2207"/>
      <c r="E182" s="2208"/>
      <c r="F182" s="2236"/>
      <c r="G182" s="2211"/>
      <c r="H182" s="2211"/>
      <c r="I182" s="2212"/>
      <c r="J182" s="2238"/>
    </row>
    <row r="183" spans="1:10" s="492" customFormat="1" ht="15.75" customHeight="1" x14ac:dyDescent="0.35">
      <c r="A183" s="795"/>
      <c r="B183" s="724"/>
      <c r="C183" s="821"/>
      <c r="D183" s="2234"/>
      <c r="E183" s="2235"/>
      <c r="F183" s="2197"/>
      <c r="G183" s="2198"/>
      <c r="H183" s="2198"/>
      <c r="I183" s="2199"/>
      <c r="J183" s="2239"/>
    </row>
    <row r="184" spans="1:10" s="492" customFormat="1" ht="15.75" customHeight="1" x14ac:dyDescent="0.35">
      <c r="A184" s="795"/>
      <c r="B184" s="724"/>
      <c r="C184" s="821"/>
      <c r="D184" s="2205" t="s">
        <v>107</v>
      </c>
      <c r="E184" s="2206"/>
      <c r="F184" s="2194" t="s">
        <v>108</v>
      </c>
      <c r="G184" s="2195"/>
      <c r="H184" s="2195"/>
      <c r="I184" s="2196"/>
      <c r="J184" s="2200">
        <v>0.5</v>
      </c>
    </row>
    <row r="185" spans="1:10" s="492" customFormat="1" ht="15.75" customHeight="1" x14ac:dyDescent="0.35">
      <c r="A185" s="795"/>
      <c r="B185" s="724"/>
      <c r="C185" s="821"/>
      <c r="D185" s="2234"/>
      <c r="E185" s="2235"/>
      <c r="F185" s="2197"/>
      <c r="G185" s="2198"/>
      <c r="H185" s="2198"/>
      <c r="I185" s="2199"/>
      <c r="J185" s="2201"/>
    </row>
    <row r="186" spans="1:10" s="492" customFormat="1" ht="15.75" customHeight="1" x14ac:dyDescent="0.35">
      <c r="A186" s="795"/>
      <c r="B186" s="724"/>
      <c r="C186" s="821"/>
      <c r="D186" s="2205" t="s">
        <v>109</v>
      </c>
      <c r="E186" s="2206"/>
      <c r="F186" s="2194" t="s">
        <v>61</v>
      </c>
      <c r="G186" s="2195" t="s">
        <v>1711</v>
      </c>
      <c r="H186" s="2195"/>
      <c r="I186" s="2196"/>
      <c r="J186" s="2214">
        <v>1</v>
      </c>
    </row>
    <row r="187" spans="1:10" s="492" customFormat="1" x14ac:dyDescent="0.35">
      <c r="A187" s="795"/>
      <c r="B187" s="724"/>
      <c r="C187" s="821"/>
      <c r="D187" s="2207"/>
      <c r="E187" s="2208"/>
      <c r="F187" s="2202"/>
      <c r="G187" s="2211"/>
      <c r="H187" s="2211"/>
      <c r="I187" s="2212"/>
      <c r="J187" s="2214"/>
    </row>
    <row r="188" spans="1:10" s="492" customFormat="1" x14ac:dyDescent="0.35">
      <c r="A188" s="795"/>
      <c r="B188" s="724"/>
      <c r="C188" s="821"/>
      <c r="D188" s="2207"/>
      <c r="E188" s="2208"/>
      <c r="F188" s="2202"/>
      <c r="G188" s="2213"/>
      <c r="H188" s="2213"/>
      <c r="I188" s="2212"/>
      <c r="J188" s="2214"/>
    </row>
    <row r="189" spans="1:10" s="492" customFormat="1" x14ac:dyDescent="0.35">
      <c r="A189" s="795"/>
      <c r="B189" s="724"/>
      <c r="C189" s="821"/>
      <c r="D189" s="2207"/>
      <c r="E189" s="2208"/>
      <c r="F189" s="2250" t="s">
        <v>65</v>
      </c>
      <c r="G189" s="2211" t="s">
        <v>110</v>
      </c>
      <c r="H189" s="2211"/>
      <c r="I189" s="2212"/>
      <c r="J189" s="2215"/>
    </row>
    <row r="190" spans="1:10" s="492" customFormat="1" x14ac:dyDescent="0.35">
      <c r="A190" s="795"/>
      <c r="B190" s="724"/>
      <c r="C190" s="821"/>
      <c r="D190" s="2209"/>
      <c r="E190" s="2210"/>
      <c r="F190" s="2251"/>
      <c r="G190" s="2246"/>
      <c r="H190" s="2246"/>
      <c r="I190" s="2247"/>
      <c r="J190" s="2215"/>
    </row>
    <row r="191" spans="1:10" s="492" customFormat="1" ht="15.75" customHeight="1" x14ac:dyDescent="0.35">
      <c r="A191" s="795"/>
      <c r="B191" s="724"/>
      <c r="C191" s="821"/>
      <c r="D191" s="746"/>
      <c r="E191" s="746"/>
      <c r="F191" s="746"/>
      <c r="G191" s="746"/>
      <c r="H191" s="746"/>
      <c r="I191" s="746"/>
      <c r="J191" s="746"/>
    </row>
    <row r="192" spans="1:10" x14ac:dyDescent="0.35">
      <c r="A192" s="795"/>
      <c r="B192" s="724"/>
      <c r="C192" s="821" t="s">
        <v>1694</v>
      </c>
      <c r="D192" s="2192" t="s">
        <v>1946</v>
      </c>
      <c r="E192" s="2192"/>
      <c r="F192" s="2192"/>
      <c r="G192" s="2192"/>
      <c r="H192" s="2192"/>
      <c r="I192" s="2192"/>
      <c r="J192" s="2192"/>
    </row>
    <row r="193" spans="1:10" s="492" customFormat="1" x14ac:dyDescent="0.35">
      <c r="A193" s="795"/>
      <c r="B193" s="724"/>
      <c r="C193" s="821"/>
      <c r="D193" s="2192"/>
      <c r="E193" s="2192"/>
      <c r="F193" s="2192"/>
      <c r="G193" s="2192"/>
      <c r="H193" s="2192"/>
      <c r="I193" s="2192"/>
      <c r="J193" s="2192"/>
    </row>
    <row r="194" spans="1:10" s="492" customFormat="1" x14ac:dyDescent="0.35">
      <c r="A194" s="795"/>
      <c r="B194" s="724"/>
      <c r="C194" s="821"/>
      <c r="D194" s="2192"/>
      <c r="E194" s="2192"/>
      <c r="F194" s="2192"/>
      <c r="G194" s="2192"/>
      <c r="H194" s="2192"/>
      <c r="I194" s="2192"/>
      <c r="J194" s="2192"/>
    </row>
    <row r="195" spans="1:10" s="492" customFormat="1" x14ac:dyDescent="0.35">
      <c r="A195" s="795"/>
      <c r="B195" s="724"/>
      <c r="C195" s="821"/>
      <c r="D195" s="2118"/>
      <c r="E195" s="2118"/>
      <c r="F195" s="2118"/>
      <c r="G195" s="2118"/>
      <c r="H195" s="2118"/>
      <c r="I195" s="2118"/>
      <c r="J195" s="2118"/>
    </row>
    <row r="196" spans="1:10" x14ac:dyDescent="0.35">
      <c r="A196" s="795"/>
      <c r="B196" s="724"/>
      <c r="C196" s="821" t="s">
        <v>1694</v>
      </c>
      <c r="D196" s="2192" t="s">
        <v>1947</v>
      </c>
      <c r="E196" s="2192"/>
      <c r="F196" s="2192"/>
      <c r="G196" s="2192"/>
      <c r="H196" s="2192"/>
      <c r="I196" s="2192"/>
      <c r="J196" s="2192"/>
    </row>
    <row r="197" spans="1:10" s="492" customFormat="1" x14ac:dyDescent="0.35">
      <c r="A197" s="795"/>
      <c r="B197" s="724"/>
      <c r="C197" s="821"/>
      <c r="D197" s="2118"/>
      <c r="E197" s="2118"/>
      <c r="F197" s="2118"/>
      <c r="G197" s="2118"/>
      <c r="H197" s="2118"/>
      <c r="I197" s="2118"/>
      <c r="J197" s="2118"/>
    </row>
    <row r="198" spans="1:10" ht="20.25" customHeight="1" x14ac:dyDescent="0.35">
      <c r="A198" s="795"/>
      <c r="B198" s="724"/>
      <c r="C198" s="821"/>
      <c r="D198" s="823" t="s">
        <v>1948</v>
      </c>
      <c r="E198" s="2203" t="s">
        <v>1949</v>
      </c>
      <c r="F198" s="2203"/>
      <c r="G198" s="2203"/>
      <c r="H198" s="2203"/>
      <c r="I198" s="2203"/>
      <c r="J198" s="2203"/>
    </row>
    <row r="199" spans="1:10" ht="20.25" customHeight="1" x14ac:dyDescent="0.35">
      <c r="A199" s="795"/>
      <c r="B199" s="724"/>
      <c r="C199" s="821"/>
      <c r="D199" s="823" t="s">
        <v>1948</v>
      </c>
      <c r="E199" s="2204" t="s">
        <v>1950</v>
      </c>
      <c r="F199" s="2204"/>
      <c r="G199" s="2204"/>
      <c r="H199" s="2204"/>
      <c r="I199" s="2204"/>
      <c r="J199" s="2204"/>
    </row>
    <row r="200" spans="1:10" x14ac:dyDescent="0.35">
      <c r="A200" s="795"/>
      <c r="B200" s="724"/>
      <c r="C200" s="821"/>
      <c r="D200" s="824" t="s">
        <v>1951</v>
      </c>
      <c r="E200" s="2192" t="s">
        <v>1952</v>
      </c>
      <c r="F200" s="2192"/>
      <c r="G200" s="2192"/>
      <c r="H200" s="2192"/>
      <c r="I200" s="2192"/>
      <c r="J200" s="2192"/>
    </row>
    <row r="201" spans="1:10" s="492" customFormat="1" x14ac:dyDescent="0.35">
      <c r="A201" s="795"/>
      <c r="B201" s="724"/>
      <c r="C201" s="821"/>
      <c r="D201" s="824"/>
      <c r="E201" s="2192"/>
      <c r="F201" s="2192"/>
      <c r="G201" s="2192"/>
      <c r="H201" s="2192"/>
      <c r="I201" s="2192"/>
      <c r="J201" s="2192"/>
    </row>
    <row r="202" spans="1:10" ht="9" customHeight="1" x14ac:dyDescent="0.35">
      <c r="A202" s="795"/>
      <c r="B202" s="724"/>
      <c r="C202" s="822"/>
      <c r="D202" s="732"/>
      <c r="E202" s="732"/>
      <c r="F202" s="732"/>
      <c r="G202" s="732"/>
      <c r="H202" s="732"/>
      <c r="I202" s="732"/>
      <c r="J202" s="732"/>
    </row>
    <row r="203" spans="1:10" s="546" customFormat="1" x14ac:dyDescent="0.35">
      <c r="A203" s="799" t="s">
        <v>50</v>
      </c>
      <c r="B203" s="808"/>
      <c r="C203" s="1377" t="s">
        <v>1953</v>
      </c>
      <c r="D203" s="1378" t="s">
        <v>50</v>
      </c>
      <c r="E203" s="1379"/>
      <c r="F203" s="1379"/>
      <c r="G203" s="1379"/>
      <c r="H203" s="1379"/>
      <c r="I203" s="1379"/>
      <c r="J203" s="1379"/>
    </row>
    <row r="204" spans="1:10" ht="11.25" hidden="1" customHeight="1" x14ac:dyDescent="0.35">
      <c r="A204" s="795"/>
      <c r="B204" s="733"/>
      <c r="C204" s="735"/>
      <c r="D204" s="735"/>
      <c r="E204" s="735"/>
      <c r="F204" s="735"/>
      <c r="G204" s="735"/>
      <c r="H204" s="735"/>
      <c r="I204" s="735"/>
      <c r="J204" s="735"/>
    </row>
    <row r="205" spans="1:10" x14ac:dyDescent="0.35">
      <c r="A205" s="795"/>
      <c r="B205" s="733"/>
      <c r="C205" s="821" t="s">
        <v>1694</v>
      </c>
      <c r="D205" s="2192" t="s">
        <v>1703</v>
      </c>
      <c r="E205" s="2192"/>
      <c r="F205" s="2192"/>
      <c r="G205" s="2192"/>
      <c r="H205" s="2192"/>
      <c r="I205" s="2192"/>
      <c r="J205" s="2192"/>
    </row>
    <row r="206" spans="1:10" s="492" customFormat="1" x14ac:dyDescent="0.35">
      <c r="A206" s="795"/>
      <c r="B206" s="733"/>
      <c r="C206" s="821"/>
      <c r="D206" s="2192"/>
      <c r="E206" s="2192"/>
      <c r="F206" s="2192"/>
      <c r="G206" s="2192"/>
      <c r="H206" s="2192"/>
      <c r="I206" s="2192"/>
      <c r="J206" s="2192"/>
    </row>
    <row r="207" spans="1:10" s="492" customFormat="1" x14ac:dyDescent="0.35">
      <c r="A207" s="795"/>
      <c r="B207" s="733"/>
      <c r="C207" s="821"/>
      <c r="D207" s="2118"/>
      <c r="E207" s="2118"/>
      <c r="F207" s="2118"/>
      <c r="G207" s="2118"/>
      <c r="H207" s="2118"/>
      <c r="I207" s="2118"/>
      <c r="J207" s="2118"/>
    </row>
    <row r="208" spans="1:10" x14ac:dyDescent="0.35">
      <c r="A208" s="795"/>
      <c r="B208" s="733"/>
      <c r="C208" s="821" t="s">
        <v>1694</v>
      </c>
      <c r="D208" s="2192" t="s">
        <v>1704</v>
      </c>
      <c r="E208" s="2192"/>
      <c r="F208" s="2192"/>
      <c r="G208" s="2192"/>
      <c r="H208" s="2192"/>
      <c r="I208" s="2192"/>
      <c r="J208" s="2192"/>
    </row>
    <row r="209" spans="1:10" s="492" customFormat="1" x14ac:dyDescent="0.35">
      <c r="A209" s="795"/>
      <c r="B209" s="733"/>
      <c r="C209" s="821"/>
      <c r="D209" s="2118"/>
      <c r="E209" s="2118"/>
      <c r="F209" s="2118"/>
      <c r="G209" s="2118"/>
      <c r="H209" s="2118"/>
      <c r="I209" s="2118"/>
      <c r="J209" s="2118"/>
    </row>
    <row r="210" spans="1:10" x14ac:dyDescent="0.35">
      <c r="A210" s="795"/>
      <c r="B210" s="733"/>
      <c r="C210" s="821" t="s">
        <v>1694</v>
      </c>
      <c r="D210" s="2192" t="s">
        <v>98</v>
      </c>
      <c r="E210" s="2192"/>
      <c r="F210" s="2192"/>
      <c r="G210" s="2192"/>
      <c r="H210" s="2192"/>
      <c r="I210" s="2192"/>
      <c r="J210" s="2192"/>
    </row>
    <row r="211" spans="1:10" s="492" customFormat="1" x14ac:dyDescent="0.35">
      <c r="A211" s="795"/>
      <c r="B211" s="733"/>
      <c r="C211" s="821"/>
      <c r="D211" s="2118"/>
      <c r="E211" s="2118"/>
      <c r="F211" s="2118"/>
      <c r="G211" s="2118"/>
      <c r="H211" s="2118"/>
      <c r="I211" s="2118"/>
      <c r="J211" s="2118"/>
    </row>
    <row r="212" spans="1:10" x14ac:dyDescent="0.35">
      <c r="A212" s="795"/>
      <c r="B212" s="733"/>
      <c r="C212" s="825"/>
      <c r="D212" s="806" t="s">
        <v>125</v>
      </c>
      <c r="E212" s="2192" t="s">
        <v>1706</v>
      </c>
      <c r="F212" s="2192"/>
      <c r="G212" s="2192"/>
      <c r="H212" s="2192"/>
      <c r="I212" s="2192"/>
      <c r="J212" s="2192"/>
    </row>
    <row r="213" spans="1:10" s="492" customFormat="1" x14ac:dyDescent="0.35">
      <c r="A213" s="795"/>
      <c r="B213" s="733"/>
      <c r="C213" s="825"/>
      <c r="D213" s="806"/>
      <c r="E213" s="2118"/>
      <c r="F213" s="2118"/>
      <c r="G213" s="2118"/>
      <c r="H213" s="2118"/>
      <c r="I213" s="2118"/>
      <c r="J213" s="2118"/>
    </row>
    <row r="214" spans="1:10" s="492" customFormat="1" x14ac:dyDescent="0.35">
      <c r="A214" s="795"/>
      <c r="B214" s="733"/>
      <c r="C214" s="825"/>
      <c r="D214" s="806"/>
      <c r="E214" s="2118"/>
      <c r="F214" s="2118"/>
      <c r="G214" s="2118"/>
      <c r="H214" s="2118"/>
      <c r="I214" s="2118"/>
      <c r="J214" s="2118"/>
    </row>
    <row r="215" spans="1:10" x14ac:dyDescent="0.35">
      <c r="A215" s="795"/>
      <c r="B215" s="733"/>
      <c r="C215" s="825"/>
      <c r="D215" s="806" t="s">
        <v>126</v>
      </c>
      <c r="E215" s="2192" t="s">
        <v>1707</v>
      </c>
      <c r="F215" s="2192"/>
      <c r="G215" s="2192"/>
      <c r="H215" s="2192"/>
      <c r="I215" s="2192"/>
      <c r="J215" s="2192"/>
    </row>
    <row r="216" spans="1:10" s="492" customFormat="1" x14ac:dyDescent="0.35">
      <c r="A216" s="795"/>
      <c r="B216" s="733"/>
      <c r="C216" s="825"/>
      <c r="D216" s="806"/>
      <c r="E216" s="2118"/>
      <c r="F216" s="2118"/>
      <c r="G216" s="2118"/>
      <c r="H216" s="2118"/>
      <c r="I216" s="2118"/>
      <c r="J216" s="2118"/>
    </row>
    <row r="217" spans="1:10" x14ac:dyDescent="0.35">
      <c r="A217" s="795"/>
      <c r="B217" s="733"/>
      <c r="C217" s="825"/>
      <c r="D217" s="806" t="s">
        <v>162</v>
      </c>
      <c r="E217" s="2192" t="s">
        <v>1705</v>
      </c>
      <c r="F217" s="2192"/>
      <c r="G217" s="2192"/>
      <c r="H217" s="2192"/>
      <c r="I217" s="2192"/>
      <c r="J217" s="2192"/>
    </row>
    <row r="218" spans="1:10" s="492" customFormat="1" x14ac:dyDescent="0.35">
      <c r="A218" s="795"/>
      <c r="B218" s="733"/>
      <c r="C218" s="825"/>
      <c r="D218" s="806"/>
      <c r="E218" s="2118"/>
      <c r="F218" s="2118"/>
      <c r="G218" s="2118"/>
      <c r="H218" s="2118"/>
      <c r="I218" s="2118"/>
      <c r="J218" s="2118"/>
    </row>
    <row r="219" spans="1:10" s="492" customFormat="1" x14ac:dyDescent="0.35">
      <c r="A219" s="795"/>
      <c r="B219" s="733"/>
      <c r="C219" s="825"/>
      <c r="D219" s="806"/>
      <c r="E219" s="2118"/>
      <c r="F219" s="2118"/>
      <c r="G219" s="2118"/>
      <c r="H219" s="2118"/>
      <c r="I219" s="2118"/>
      <c r="J219" s="2118"/>
    </row>
    <row r="220" spans="1:10" s="492" customFormat="1" x14ac:dyDescent="0.35">
      <c r="A220" s="795"/>
      <c r="B220" s="733"/>
      <c r="C220" s="825"/>
      <c r="D220" s="806"/>
      <c r="E220" s="2118"/>
      <c r="F220" s="2118"/>
      <c r="G220" s="2118"/>
      <c r="H220" s="2118"/>
      <c r="I220" s="2118"/>
      <c r="J220" s="2118"/>
    </row>
    <row r="221" spans="1:10" s="492" customFormat="1" x14ac:dyDescent="0.35">
      <c r="A221" s="795"/>
      <c r="B221" s="733"/>
      <c r="C221" s="825"/>
      <c r="D221" s="806"/>
      <c r="E221" s="2118"/>
      <c r="F221" s="2118"/>
      <c r="G221" s="2118"/>
      <c r="H221" s="2118"/>
      <c r="I221" s="2118"/>
      <c r="J221" s="2118"/>
    </row>
    <row r="222" spans="1:10" s="492" customFormat="1" x14ac:dyDescent="0.35">
      <c r="A222" s="795"/>
      <c r="B222" s="733"/>
      <c r="C222" s="821" t="s">
        <v>1694</v>
      </c>
      <c r="D222" s="2192" t="s">
        <v>1954</v>
      </c>
      <c r="E222" s="2192"/>
      <c r="F222" s="2192"/>
      <c r="G222" s="2192"/>
      <c r="H222" s="2192"/>
      <c r="I222" s="2192"/>
      <c r="J222" s="2192"/>
    </row>
    <row r="223" spans="1:10" s="492" customFormat="1" x14ac:dyDescent="0.35">
      <c r="A223" s="795"/>
      <c r="B223" s="733"/>
      <c r="C223" s="821"/>
      <c r="D223" s="2192"/>
      <c r="E223" s="2192"/>
      <c r="F223" s="2192"/>
      <c r="G223" s="2192"/>
      <c r="H223" s="2192"/>
      <c r="I223" s="2192"/>
      <c r="J223" s="2192"/>
    </row>
    <row r="224" spans="1:10" s="492" customFormat="1" x14ac:dyDescent="0.35">
      <c r="A224" s="795"/>
      <c r="B224" s="733"/>
      <c r="C224" s="821"/>
      <c r="D224" s="2192"/>
      <c r="E224" s="2192"/>
      <c r="F224" s="2192"/>
      <c r="G224" s="2192"/>
      <c r="H224" s="2192"/>
      <c r="I224" s="2192"/>
      <c r="J224" s="2192"/>
    </row>
    <row r="225" spans="1:10" s="492" customFormat="1" x14ac:dyDescent="0.35">
      <c r="A225" s="795"/>
      <c r="B225" s="733"/>
      <c r="C225" s="821"/>
      <c r="D225" s="2192"/>
      <c r="E225" s="2192"/>
      <c r="F225" s="2192"/>
      <c r="G225" s="2192"/>
      <c r="H225" s="2192"/>
      <c r="I225" s="2192"/>
      <c r="J225" s="2192"/>
    </row>
    <row r="226" spans="1:10" s="492" customFormat="1" x14ac:dyDescent="0.35">
      <c r="A226" s="795"/>
      <c r="B226" s="733"/>
      <c r="C226" s="821"/>
      <c r="D226" s="2192"/>
      <c r="E226" s="2192"/>
      <c r="F226" s="2192"/>
      <c r="G226" s="2192"/>
      <c r="H226" s="2192"/>
      <c r="I226" s="2192"/>
      <c r="J226" s="2192"/>
    </row>
    <row r="227" spans="1:10" s="492" customFormat="1" x14ac:dyDescent="0.35">
      <c r="A227" s="795"/>
      <c r="B227" s="733"/>
      <c r="C227" s="821"/>
      <c r="D227" s="2118"/>
      <c r="E227" s="2118"/>
      <c r="F227" s="2118"/>
      <c r="G227" s="2118"/>
      <c r="H227" s="2118"/>
      <c r="I227" s="2118"/>
      <c r="J227" s="2118"/>
    </row>
    <row r="228" spans="1:10" s="492" customFormat="1" x14ac:dyDescent="0.35">
      <c r="A228" s="795"/>
      <c r="B228" s="733"/>
      <c r="C228" s="821" t="s">
        <v>1694</v>
      </c>
      <c r="D228" s="2192" t="s">
        <v>1955</v>
      </c>
      <c r="E228" s="2192"/>
      <c r="F228" s="2192"/>
      <c r="G228" s="2192"/>
      <c r="H228" s="2192"/>
      <c r="I228" s="2192"/>
      <c r="J228" s="2192"/>
    </row>
    <row r="229" spans="1:10" s="492" customFormat="1" x14ac:dyDescent="0.35">
      <c r="A229" s="795"/>
      <c r="B229" s="733"/>
      <c r="C229" s="821"/>
      <c r="D229" s="2192"/>
      <c r="E229" s="2192"/>
      <c r="F229" s="2192"/>
      <c r="G229" s="2192"/>
      <c r="H229" s="2192"/>
      <c r="I229" s="2192"/>
      <c r="J229" s="2192"/>
    </row>
    <row r="230" spans="1:10" s="492" customFormat="1" x14ac:dyDescent="0.35">
      <c r="A230" s="795"/>
      <c r="B230" s="733"/>
      <c r="C230" s="821"/>
      <c r="D230" s="2192"/>
      <c r="E230" s="2192"/>
      <c r="F230" s="2192"/>
      <c r="G230" s="2192"/>
      <c r="H230" s="2192"/>
      <c r="I230" s="2192"/>
      <c r="J230" s="2192"/>
    </row>
    <row r="231" spans="1:10" s="492" customFormat="1" x14ac:dyDescent="0.35">
      <c r="A231" s="795"/>
      <c r="B231" s="733"/>
      <c r="C231" s="821"/>
      <c r="D231" s="2118"/>
      <c r="E231" s="2118"/>
      <c r="F231" s="2118"/>
      <c r="G231" s="2118"/>
      <c r="H231" s="2118"/>
      <c r="I231" s="2118"/>
      <c r="J231" s="2118"/>
    </row>
    <row r="232" spans="1:10" s="492" customFormat="1" x14ac:dyDescent="0.35">
      <c r="A232" s="795"/>
      <c r="B232" s="733"/>
      <c r="C232" s="821"/>
      <c r="D232" s="746"/>
      <c r="E232" s="746"/>
      <c r="F232" s="746"/>
      <c r="G232" s="746"/>
      <c r="H232" s="746"/>
      <c r="I232" s="746"/>
      <c r="J232" s="746"/>
    </row>
    <row r="233" spans="1:10" s="546" customFormat="1" x14ac:dyDescent="0.35">
      <c r="A233" s="799" t="s">
        <v>111</v>
      </c>
      <c r="B233" s="808"/>
      <c r="C233" s="1377" t="s">
        <v>1956</v>
      </c>
      <c r="D233" s="1378" t="s">
        <v>111</v>
      </c>
      <c r="E233" s="1379"/>
      <c r="F233" s="1379"/>
      <c r="G233" s="1379"/>
      <c r="H233" s="1379"/>
      <c r="I233" s="1379"/>
      <c r="J233" s="1379"/>
    </row>
    <row r="234" spans="1:10" s="492" customFormat="1" ht="7.5" hidden="1" customHeight="1" x14ac:dyDescent="0.35">
      <c r="A234" s="795"/>
      <c r="B234" s="733"/>
      <c r="C234" s="735"/>
      <c r="D234" s="735"/>
      <c r="E234" s="735"/>
      <c r="F234" s="735"/>
      <c r="G234" s="735"/>
      <c r="H234" s="735"/>
      <c r="I234" s="735"/>
      <c r="J234" s="735"/>
    </row>
    <row r="235" spans="1:10" s="492" customFormat="1" x14ac:dyDescent="0.35">
      <c r="A235" s="795"/>
      <c r="B235" s="733"/>
      <c r="C235" s="821" t="s">
        <v>1694</v>
      </c>
      <c r="D235" s="2192" t="s">
        <v>1957</v>
      </c>
      <c r="E235" s="2192"/>
      <c r="F235" s="2192"/>
      <c r="G235" s="2192"/>
      <c r="H235" s="2192"/>
      <c r="I235" s="2192"/>
      <c r="J235" s="2192"/>
    </row>
    <row r="236" spans="1:10" x14ac:dyDescent="0.35">
      <c r="A236" s="795"/>
      <c r="B236" s="733"/>
      <c r="C236" s="821"/>
      <c r="D236" s="2192"/>
      <c r="E236" s="2192"/>
      <c r="F236" s="2192"/>
      <c r="G236" s="2192"/>
      <c r="H236" s="2192"/>
      <c r="I236" s="2192"/>
      <c r="J236" s="2192"/>
    </row>
    <row r="237" spans="1:10" s="492" customFormat="1" x14ac:dyDescent="0.35">
      <c r="A237" s="795"/>
      <c r="B237" s="733"/>
      <c r="C237" s="826" t="s">
        <v>1694</v>
      </c>
      <c r="D237" s="2193" t="s">
        <v>1712</v>
      </c>
      <c r="E237" s="2193"/>
      <c r="F237" s="2193"/>
      <c r="G237" s="2193"/>
      <c r="H237" s="2193"/>
      <c r="I237" s="2193"/>
      <c r="J237" s="2193"/>
    </row>
    <row r="238" spans="1:10" s="492" customFormat="1" x14ac:dyDescent="0.35">
      <c r="A238" s="795"/>
      <c r="B238" s="733"/>
      <c r="C238" s="827"/>
      <c r="D238" s="812" t="s">
        <v>125</v>
      </c>
      <c r="E238" s="810" t="s">
        <v>79</v>
      </c>
      <c r="F238" s="810"/>
      <c r="G238" s="810"/>
      <c r="H238" s="810"/>
      <c r="I238" s="810"/>
      <c r="J238" s="810"/>
    </row>
    <row r="239" spans="1:10" s="492" customFormat="1" x14ac:dyDescent="0.35">
      <c r="A239" s="795"/>
      <c r="B239" s="733"/>
      <c r="C239" s="827"/>
      <c r="D239" s="812" t="s">
        <v>126</v>
      </c>
      <c r="E239" s="810" t="s">
        <v>1713</v>
      </c>
      <c r="F239" s="810"/>
      <c r="G239" s="810"/>
      <c r="H239" s="810"/>
      <c r="I239" s="810"/>
      <c r="J239" s="810"/>
    </row>
    <row r="240" spans="1:10" s="492" customFormat="1" x14ac:dyDescent="0.35">
      <c r="A240" s="795"/>
      <c r="B240" s="733"/>
      <c r="C240" s="827"/>
      <c r="D240" s="813" t="s">
        <v>162</v>
      </c>
      <c r="E240" s="2193" t="s">
        <v>1714</v>
      </c>
      <c r="F240" s="2193"/>
      <c r="G240" s="2193"/>
      <c r="H240" s="2193"/>
      <c r="I240" s="2193"/>
      <c r="J240" s="2193"/>
    </row>
    <row r="241" spans="1:10" s="492" customFormat="1" x14ac:dyDescent="0.35">
      <c r="A241" s="795"/>
      <c r="B241" s="733"/>
      <c r="C241" s="827"/>
      <c r="D241" s="811"/>
      <c r="E241" s="2193"/>
      <c r="F241" s="2193"/>
      <c r="G241" s="2193"/>
      <c r="H241" s="2193"/>
      <c r="I241" s="2193"/>
      <c r="J241" s="2193"/>
    </row>
    <row r="242" spans="1:10" s="492" customFormat="1" x14ac:dyDescent="0.35">
      <c r="A242" s="795"/>
      <c r="B242" s="733"/>
      <c r="C242" s="827"/>
      <c r="D242" s="811"/>
      <c r="E242" s="2193"/>
      <c r="F242" s="2193"/>
      <c r="G242" s="2193"/>
      <c r="H242" s="2193"/>
      <c r="I242" s="2193"/>
      <c r="J242" s="2193"/>
    </row>
    <row r="243" spans="1:10" s="492" customFormat="1" x14ac:dyDescent="0.35">
      <c r="A243" s="795"/>
      <c r="B243" s="733"/>
      <c r="C243" s="827"/>
      <c r="D243" s="811"/>
      <c r="E243" s="2193"/>
      <c r="F243" s="2193"/>
      <c r="G243" s="2193"/>
      <c r="H243" s="2193"/>
      <c r="I243" s="2193"/>
      <c r="J243" s="2193"/>
    </row>
    <row r="244" spans="1:10" s="492" customFormat="1" x14ac:dyDescent="0.35">
      <c r="A244" s="795"/>
      <c r="B244" s="733"/>
      <c r="C244" s="826" t="s">
        <v>1694</v>
      </c>
      <c r="D244" s="2192" t="s">
        <v>1715</v>
      </c>
      <c r="E244" s="2192"/>
      <c r="F244" s="2192"/>
      <c r="G244" s="2192"/>
      <c r="H244" s="2192"/>
      <c r="I244" s="2192"/>
      <c r="J244" s="2192"/>
    </row>
    <row r="245" spans="1:10" s="492" customFormat="1" x14ac:dyDescent="0.35">
      <c r="A245" s="795"/>
      <c r="B245" s="733"/>
      <c r="C245" s="821"/>
      <c r="D245" s="2192"/>
      <c r="E245" s="2192"/>
      <c r="F245" s="2192"/>
      <c r="G245" s="2192"/>
      <c r="H245" s="2192"/>
      <c r="I245" s="2192"/>
      <c r="J245" s="2192"/>
    </row>
    <row r="246" spans="1:10" s="492" customFormat="1" x14ac:dyDescent="0.35">
      <c r="A246" s="795"/>
      <c r="B246" s="733"/>
      <c r="C246" s="826" t="s">
        <v>1694</v>
      </c>
      <c r="D246" s="2193" t="s">
        <v>1716</v>
      </c>
      <c r="E246" s="2193"/>
      <c r="F246" s="2193"/>
      <c r="G246" s="2193"/>
      <c r="H246" s="2193"/>
      <c r="I246" s="2193"/>
      <c r="J246" s="2193"/>
    </row>
    <row r="247" spans="1:10" s="492" customFormat="1" x14ac:dyDescent="0.35">
      <c r="A247" s="795"/>
      <c r="B247" s="733"/>
      <c r="C247" s="826"/>
      <c r="D247" s="2193"/>
      <c r="E247" s="2193"/>
      <c r="F247" s="2193"/>
      <c r="G247" s="2193"/>
      <c r="H247" s="2193"/>
      <c r="I247" s="2193"/>
      <c r="J247" s="2193"/>
    </row>
    <row r="248" spans="1:10" s="492" customFormat="1" x14ac:dyDescent="0.35">
      <c r="A248" s="795"/>
      <c r="B248" s="733"/>
      <c r="C248" s="826"/>
      <c r="D248" s="2193"/>
      <c r="E248" s="2193"/>
      <c r="F248" s="2193"/>
      <c r="G248" s="2193"/>
      <c r="H248" s="2193"/>
      <c r="I248" s="2193"/>
      <c r="J248" s="2193"/>
    </row>
    <row r="249" spans="1:10" s="492" customFormat="1" x14ac:dyDescent="0.35">
      <c r="A249" s="795"/>
      <c r="B249" s="733"/>
      <c r="C249" s="826" t="s">
        <v>1694</v>
      </c>
      <c r="D249" s="2193" t="s">
        <v>1717</v>
      </c>
      <c r="E249" s="2193"/>
      <c r="F249" s="2193"/>
      <c r="G249" s="2193"/>
      <c r="H249" s="2193"/>
      <c r="I249" s="2193"/>
      <c r="J249" s="2193"/>
    </row>
    <row r="250" spans="1:10" s="492" customFormat="1" x14ac:dyDescent="0.35">
      <c r="A250" s="795"/>
      <c r="B250" s="733"/>
      <c r="C250" s="826"/>
      <c r="D250" s="2193"/>
      <c r="E250" s="2193"/>
      <c r="F250" s="2193"/>
      <c r="G250" s="2193"/>
      <c r="H250" s="2193"/>
      <c r="I250" s="2193"/>
      <c r="J250" s="2193"/>
    </row>
    <row r="251" spans="1:10" s="492" customFormat="1" x14ac:dyDescent="0.35">
      <c r="A251" s="795"/>
      <c r="B251" s="733"/>
      <c r="C251" s="826"/>
      <c r="D251" s="2193"/>
      <c r="E251" s="2193"/>
      <c r="F251" s="2193"/>
      <c r="G251" s="2193"/>
      <c r="H251" s="2193"/>
      <c r="I251" s="2193"/>
      <c r="J251" s="2193"/>
    </row>
    <row r="252" spans="1:10" s="492" customFormat="1" x14ac:dyDescent="0.35">
      <c r="A252" s="795"/>
      <c r="B252" s="733"/>
      <c r="C252" s="826"/>
      <c r="D252" s="2193"/>
      <c r="E252" s="2193"/>
      <c r="F252" s="2193"/>
      <c r="G252" s="2193"/>
      <c r="H252" s="2193"/>
      <c r="I252" s="2193"/>
      <c r="J252" s="2193"/>
    </row>
    <row r="253" spans="1:10" s="492" customFormat="1" x14ac:dyDescent="0.35">
      <c r="A253" s="795"/>
      <c r="B253" s="733"/>
      <c r="C253" s="826"/>
      <c r="D253" s="2193"/>
      <c r="E253" s="2193"/>
      <c r="F253" s="2193"/>
      <c r="G253" s="2193"/>
      <c r="H253" s="2193"/>
      <c r="I253" s="2193"/>
      <c r="J253" s="2193"/>
    </row>
    <row r="254" spans="1:10" s="492" customFormat="1" x14ac:dyDescent="0.35">
      <c r="A254" s="795"/>
      <c r="B254" s="733"/>
      <c r="C254" s="826"/>
      <c r="D254" s="2193"/>
      <c r="E254" s="2193"/>
      <c r="F254" s="2193"/>
      <c r="G254" s="2193"/>
      <c r="H254" s="2193"/>
      <c r="I254" s="2193"/>
      <c r="J254" s="2193"/>
    </row>
    <row r="255" spans="1:10" s="492" customFormat="1" x14ac:dyDescent="0.35">
      <c r="A255" s="795"/>
      <c r="B255" s="733"/>
      <c r="C255" s="2257" t="s">
        <v>1718</v>
      </c>
      <c r="D255" s="2257"/>
      <c r="E255" s="2257"/>
      <c r="F255" s="2257"/>
      <c r="G255" s="2257"/>
      <c r="H255" s="2257"/>
      <c r="I255" s="2257"/>
      <c r="J255" s="2257"/>
    </row>
    <row r="256" spans="1:10" s="492" customFormat="1" ht="24.75" customHeight="1" x14ac:dyDescent="0.35">
      <c r="A256" s="795"/>
      <c r="B256" s="733"/>
      <c r="C256" s="2258" t="s">
        <v>1145</v>
      </c>
      <c r="D256" s="2258"/>
      <c r="E256" s="2258"/>
      <c r="F256" s="2258"/>
      <c r="G256" s="2258"/>
      <c r="H256" s="2258"/>
      <c r="I256" s="2258" t="s">
        <v>1146</v>
      </c>
      <c r="J256" s="2258"/>
    </row>
    <row r="257" spans="1:10" s="492" customFormat="1" x14ac:dyDescent="0.35">
      <c r="A257" s="795"/>
      <c r="B257" s="733"/>
      <c r="C257" s="2252" t="s">
        <v>80</v>
      </c>
      <c r="D257" s="2252"/>
      <c r="E257" s="2252"/>
      <c r="F257" s="2252"/>
      <c r="G257" s="2252"/>
      <c r="H257" s="2252"/>
      <c r="I257" s="2253" t="s">
        <v>1147</v>
      </c>
      <c r="J257" s="2253"/>
    </row>
    <row r="258" spans="1:10" s="492" customFormat="1" x14ac:dyDescent="0.35">
      <c r="A258" s="795"/>
      <c r="B258" s="733"/>
      <c r="C258" s="2252" t="s">
        <v>1719</v>
      </c>
      <c r="D258" s="2252"/>
      <c r="E258" s="2252"/>
      <c r="F258" s="2252"/>
      <c r="G258" s="2252"/>
      <c r="H258" s="2252"/>
      <c r="I258" s="2253" t="s">
        <v>1148</v>
      </c>
      <c r="J258" s="2253"/>
    </row>
    <row r="259" spans="1:10" s="492" customFormat="1" x14ac:dyDescent="0.35">
      <c r="A259" s="795"/>
      <c r="B259" s="733"/>
      <c r="C259" s="2252" t="s">
        <v>1720</v>
      </c>
      <c r="D259" s="2252"/>
      <c r="E259" s="2252"/>
      <c r="F259" s="2252"/>
      <c r="G259" s="2252"/>
      <c r="H259" s="2252"/>
      <c r="I259" s="2253" t="s">
        <v>1958</v>
      </c>
      <c r="J259" s="2253"/>
    </row>
    <row r="260" spans="1:10" s="492" customFormat="1" x14ac:dyDescent="0.35">
      <c r="A260" s="795"/>
      <c r="B260" s="733"/>
      <c r="C260" s="2252" t="s">
        <v>1959</v>
      </c>
      <c r="D260" s="2252"/>
      <c r="E260" s="2252"/>
      <c r="F260" s="2252"/>
      <c r="G260" s="2252"/>
      <c r="H260" s="2252"/>
      <c r="I260" s="2253" t="s">
        <v>1149</v>
      </c>
      <c r="J260" s="2253"/>
    </row>
    <row r="261" spans="1:10" s="492" customFormat="1" ht="11.25" customHeight="1" x14ac:dyDescent="0.35">
      <c r="A261" s="795"/>
      <c r="B261" s="733"/>
      <c r="C261" s="731"/>
      <c r="D261" s="746"/>
      <c r="E261" s="746"/>
      <c r="F261" s="746"/>
      <c r="G261" s="746"/>
      <c r="H261" s="746"/>
      <c r="I261" s="746"/>
      <c r="J261" s="746"/>
    </row>
    <row r="262" spans="1:10" x14ac:dyDescent="0.35">
      <c r="A262" s="2229" t="s">
        <v>51</v>
      </c>
      <c r="B262" s="814"/>
      <c r="C262" s="805" t="s">
        <v>163</v>
      </c>
      <c r="D262" s="798" t="s">
        <v>51</v>
      </c>
      <c r="E262" s="720"/>
      <c r="F262" s="720"/>
      <c r="G262" s="720"/>
      <c r="H262" s="720"/>
      <c r="I262" s="720"/>
      <c r="J262" s="720"/>
    </row>
    <row r="263" spans="1:10" ht="6.75" hidden="1" customHeight="1" x14ac:dyDescent="0.35">
      <c r="A263" s="2229"/>
      <c r="B263" s="736"/>
      <c r="C263" s="798"/>
      <c r="D263" s="720"/>
      <c r="E263" s="720"/>
      <c r="F263" s="720"/>
      <c r="G263" s="720"/>
      <c r="H263" s="720"/>
      <c r="I263" s="720"/>
      <c r="J263" s="720"/>
    </row>
    <row r="264" spans="1:10" x14ac:dyDescent="0.35">
      <c r="A264" s="2229"/>
      <c r="B264" s="736"/>
      <c r="C264" s="821" t="s">
        <v>1694</v>
      </c>
      <c r="D264" s="2192" t="s">
        <v>1960</v>
      </c>
      <c r="E264" s="2192"/>
      <c r="F264" s="2192"/>
      <c r="G264" s="2192"/>
      <c r="H264" s="2192"/>
      <c r="I264" s="2192"/>
      <c r="J264" s="2192"/>
    </row>
    <row r="265" spans="1:10" s="492" customFormat="1" x14ac:dyDescent="0.35">
      <c r="A265" s="744"/>
      <c r="B265" s="736"/>
      <c r="C265" s="821"/>
      <c r="D265" s="2192"/>
      <c r="E265" s="2192"/>
      <c r="F265" s="2192"/>
      <c r="G265" s="2192"/>
      <c r="H265" s="2192"/>
      <c r="I265" s="2192"/>
      <c r="J265" s="2192"/>
    </row>
    <row r="266" spans="1:10" x14ac:dyDescent="0.35">
      <c r="A266" s="803"/>
      <c r="B266" s="737"/>
      <c r="C266" s="828"/>
      <c r="D266" s="2118"/>
      <c r="E266" s="2118"/>
      <c r="F266" s="2118"/>
      <c r="G266" s="2118"/>
      <c r="H266" s="2118"/>
      <c r="I266" s="2118"/>
      <c r="J266" s="2118"/>
    </row>
    <row r="267" spans="1:10" s="492" customFormat="1" x14ac:dyDescent="0.35">
      <c r="A267" s="803"/>
      <c r="B267" s="737"/>
      <c r="C267" s="821" t="s">
        <v>1694</v>
      </c>
      <c r="D267" s="2192" t="s">
        <v>1961</v>
      </c>
      <c r="E267" s="2192"/>
      <c r="F267" s="2192"/>
      <c r="G267" s="2192"/>
      <c r="H267" s="2192"/>
      <c r="I267" s="2192"/>
      <c r="J267" s="2192"/>
    </row>
    <row r="268" spans="1:10" s="492" customFormat="1" x14ac:dyDescent="0.35">
      <c r="A268" s="803"/>
      <c r="B268" s="737"/>
      <c r="C268" s="821"/>
      <c r="D268" s="2192"/>
      <c r="E268" s="2192"/>
      <c r="F268" s="2192"/>
      <c r="G268" s="2192"/>
      <c r="H268" s="2192"/>
      <c r="I268" s="2192"/>
      <c r="J268" s="2192"/>
    </row>
    <row r="269" spans="1:10" s="492" customFormat="1" x14ac:dyDescent="0.35">
      <c r="A269" s="803"/>
      <c r="B269" s="737"/>
      <c r="C269" s="828"/>
      <c r="D269" s="2118"/>
      <c r="E269" s="2118"/>
      <c r="F269" s="2118"/>
      <c r="G269" s="2118"/>
      <c r="H269" s="2118"/>
      <c r="I269" s="2118"/>
      <c r="J269" s="2118"/>
    </row>
    <row r="270" spans="1:10" s="492" customFormat="1" ht="11.25" customHeight="1" x14ac:dyDescent="0.35">
      <c r="A270" s="803"/>
      <c r="B270" s="737"/>
      <c r="C270" s="828"/>
      <c r="D270" s="746"/>
      <c r="E270" s="746"/>
      <c r="F270" s="746"/>
      <c r="G270" s="746"/>
      <c r="H270" s="746"/>
      <c r="I270" s="746"/>
      <c r="J270" s="746"/>
    </row>
    <row r="271" spans="1:10" x14ac:dyDescent="0.35">
      <c r="A271" s="799" t="s">
        <v>52</v>
      </c>
      <c r="B271" s="808"/>
      <c r="C271" s="816" t="s">
        <v>1962</v>
      </c>
      <c r="D271" s="818" t="s">
        <v>52</v>
      </c>
      <c r="E271" s="817"/>
      <c r="F271" s="815"/>
      <c r="G271" s="815"/>
      <c r="H271" s="815"/>
      <c r="I271" s="815"/>
      <c r="J271" s="815"/>
    </row>
    <row r="272" spans="1:10" s="492" customFormat="1" ht="9.75" hidden="1" customHeight="1" x14ac:dyDescent="0.35">
      <c r="A272" s="799"/>
      <c r="B272" s="808"/>
      <c r="C272" s="816"/>
      <c r="D272" s="818"/>
      <c r="E272" s="817"/>
      <c r="F272" s="815"/>
      <c r="G272" s="815"/>
      <c r="H272" s="815"/>
      <c r="I272" s="815"/>
      <c r="J272" s="815"/>
    </row>
    <row r="273" spans="1:10" x14ac:dyDescent="0.35">
      <c r="A273" s="795"/>
      <c r="B273" s="733"/>
      <c r="C273" s="820" t="s">
        <v>1694</v>
      </c>
      <c r="D273" s="2255" t="s">
        <v>1963</v>
      </c>
      <c r="E273" s="2255"/>
      <c r="F273" s="2255"/>
      <c r="G273" s="2255"/>
      <c r="H273" s="2255"/>
      <c r="I273" s="2255"/>
      <c r="J273" s="2255"/>
    </row>
    <row r="274" spans="1:10" s="492" customFormat="1" x14ac:dyDescent="0.35">
      <c r="A274" s="795"/>
      <c r="B274" s="733"/>
      <c r="C274" s="829"/>
      <c r="D274" s="2255"/>
      <c r="E274" s="2255"/>
      <c r="F274" s="2255"/>
      <c r="G274" s="2255"/>
      <c r="H274" s="2255"/>
      <c r="I274" s="2255"/>
      <c r="J274" s="2255"/>
    </row>
    <row r="275" spans="1:10" s="492" customFormat="1" x14ac:dyDescent="0.35">
      <c r="A275" s="795"/>
      <c r="B275" s="733"/>
      <c r="C275" s="829"/>
      <c r="D275" s="2255"/>
      <c r="E275" s="2255"/>
      <c r="F275" s="2255"/>
      <c r="G275" s="2255"/>
      <c r="H275" s="2255"/>
      <c r="I275" s="2255"/>
      <c r="J275" s="2255"/>
    </row>
    <row r="276" spans="1:10" s="492" customFormat="1" x14ac:dyDescent="0.35">
      <c r="A276" s="795"/>
      <c r="B276" s="733"/>
      <c r="C276" s="829"/>
      <c r="D276" s="2255"/>
      <c r="E276" s="2255"/>
      <c r="F276" s="2255"/>
      <c r="G276" s="2255"/>
      <c r="H276" s="2255"/>
      <c r="I276" s="2255"/>
      <c r="J276" s="2255"/>
    </row>
    <row r="277" spans="1:10" x14ac:dyDescent="0.35">
      <c r="A277" s="795"/>
      <c r="B277" s="733"/>
      <c r="C277" s="830"/>
      <c r="D277" s="2256"/>
      <c r="E277" s="2256"/>
      <c r="F277" s="2256"/>
      <c r="G277" s="2256"/>
      <c r="H277" s="2256"/>
      <c r="I277" s="2256"/>
      <c r="J277" s="2256"/>
    </row>
    <row r="278" spans="1:10" x14ac:dyDescent="0.35">
      <c r="A278" s="795"/>
      <c r="B278" s="733"/>
      <c r="C278" s="820" t="s">
        <v>1694</v>
      </c>
      <c r="D278" s="2255" t="s">
        <v>1964</v>
      </c>
      <c r="E278" s="2255"/>
      <c r="F278" s="2255"/>
      <c r="G278" s="2255"/>
      <c r="H278" s="2255"/>
      <c r="I278" s="2255"/>
      <c r="J278" s="2255"/>
    </row>
    <row r="279" spans="1:10" s="492" customFormat="1" x14ac:dyDescent="0.35">
      <c r="A279" s="795"/>
      <c r="B279" s="733"/>
      <c r="C279" s="820"/>
      <c r="D279" s="2118"/>
      <c r="E279" s="2118"/>
      <c r="F279" s="2118"/>
      <c r="G279" s="2118"/>
      <c r="H279" s="2118"/>
      <c r="I279" s="2118"/>
      <c r="J279" s="2118"/>
    </row>
    <row r="280" spans="1:10" x14ac:dyDescent="0.35">
      <c r="A280" s="795" t="s">
        <v>124</v>
      </c>
      <c r="B280" s="733"/>
      <c r="C280" s="820" t="s">
        <v>1694</v>
      </c>
      <c r="D280" s="2255" t="s">
        <v>1965</v>
      </c>
      <c r="E280" s="2255"/>
      <c r="F280" s="2255"/>
      <c r="G280" s="2255"/>
      <c r="H280" s="2255"/>
      <c r="I280" s="2255"/>
      <c r="J280" s="2255"/>
    </row>
    <row r="281" spans="1:10" s="492" customFormat="1" x14ac:dyDescent="0.35">
      <c r="A281" s="795"/>
      <c r="B281" s="733"/>
      <c r="C281" s="820"/>
      <c r="D281" s="2255"/>
      <c r="E281" s="2255"/>
      <c r="F281" s="2255"/>
      <c r="G281" s="2255"/>
      <c r="H281" s="2255"/>
      <c r="I281" s="2255"/>
      <c r="J281" s="2255"/>
    </row>
    <row r="282" spans="1:10" s="492" customFormat="1" x14ac:dyDescent="0.35">
      <c r="A282" s="795"/>
      <c r="B282" s="733"/>
      <c r="C282" s="820"/>
      <c r="D282" s="2118"/>
      <c r="E282" s="2118"/>
      <c r="F282" s="2118"/>
      <c r="G282" s="2118"/>
      <c r="H282" s="2118"/>
      <c r="I282" s="2118"/>
      <c r="J282" s="2118"/>
    </row>
    <row r="283" spans="1:10" s="492" customFormat="1" ht="81" customHeight="1" x14ac:dyDescent="0.35">
      <c r="A283" s="795"/>
      <c r="B283" s="733"/>
      <c r="C283" s="820" t="s">
        <v>1694</v>
      </c>
      <c r="D283" s="2179" t="s">
        <v>2140</v>
      </c>
      <c r="E283" s="2179"/>
      <c r="F283" s="2179"/>
      <c r="G283" s="2179"/>
      <c r="H283" s="2179"/>
      <c r="I283" s="2179"/>
      <c r="J283" s="2179"/>
    </row>
    <row r="284" spans="1:10" s="492" customFormat="1" ht="15.75" customHeight="1" x14ac:dyDescent="0.35">
      <c r="A284" s="795"/>
      <c r="B284" s="733"/>
      <c r="C284" s="2190" t="s">
        <v>2141</v>
      </c>
      <c r="D284" s="2190"/>
      <c r="E284" s="2190"/>
      <c r="F284" s="2190"/>
      <c r="G284" s="2190"/>
      <c r="H284" s="2190"/>
      <c r="I284" s="2190"/>
      <c r="J284" s="2190"/>
    </row>
    <row r="285" spans="1:10" s="492" customFormat="1" x14ac:dyDescent="0.35">
      <c r="A285" s="795"/>
      <c r="B285" s="733"/>
      <c r="C285" s="2184" t="s">
        <v>2142</v>
      </c>
      <c r="D285" s="2185"/>
      <c r="E285" s="2185"/>
      <c r="F285" s="2185"/>
      <c r="G285" s="2185"/>
      <c r="H285" s="2186"/>
      <c r="I285" s="2180" t="s">
        <v>2143</v>
      </c>
      <c r="J285" s="2181"/>
    </row>
    <row r="286" spans="1:10" s="492" customFormat="1" x14ac:dyDescent="0.35">
      <c r="A286" s="795"/>
      <c r="B286" s="733"/>
      <c r="C286" s="2187"/>
      <c r="D286" s="2188"/>
      <c r="E286" s="2188"/>
      <c r="F286" s="2188"/>
      <c r="G286" s="2188"/>
      <c r="H286" s="2189"/>
      <c r="I286" s="2182" t="s">
        <v>2144</v>
      </c>
      <c r="J286" s="2183"/>
    </row>
    <row r="287" spans="1:10" s="492" customFormat="1" x14ac:dyDescent="0.35">
      <c r="A287" s="795"/>
      <c r="B287" s="733"/>
      <c r="C287" s="2191" t="s">
        <v>2151</v>
      </c>
      <c r="D287" s="2191"/>
      <c r="E287" s="2191"/>
      <c r="F287" s="2191"/>
      <c r="G287" s="2191"/>
      <c r="H287" s="2191"/>
      <c r="I287" s="2225">
        <v>4</v>
      </c>
      <c r="J287" s="2225"/>
    </row>
    <row r="288" spans="1:10" s="492" customFormat="1" x14ac:dyDescent="0.35">
      <c r="A288" s="795"/>
      <c r="B288" s="733"/>
      <c r="C288" s="2191" t="s">
        <v>2145</v>
      </c>
      <c r="D288" s="2191"/>
      <c r="E288" s="2191"/>
      <c r="F288" s="2191"/>
      <c r="G288" s="2191"/>
      <c r="H288" s="2191"/>
      <c r="I288" s="2225">
        <v>5</v>
      </c>
      <c r="J288" s="2225"/>
    </row>
    <row r="289" spans="1:10" s="492" customFormat="1" ht="48" customHeight="1" x14ac:dyDescent="0.35">
      <c r="A289" s="795"/>
      <c r="B289" s="733"/>
      <c r="C289" s="2226" t="s">
        <v>2146</v>
      </c>
      <c r="D289" s="2226"/>
      <c r="E289" s="2226"/>
      <c r="F289" s="2226"/>
      <c r="G289" s="2226"/>
      <c r="H289" s="2226"/>
      <c r="I289" s="2225">
        <v>10</v>
      </c>
      <c r="J289" s="2225"/>
    </row>
    <row r="290" spans="1:10" s="492" customFormat="1" ht="48" customHeight="1" x14ac:dyDescent="0.35">
      <c r="A290" s="795"/>
      <c r="B290" s="733"/>
      <c r="C290" s="2226" t="s">
        <v>2147</v>
      </c>
      <c r="D290" s="2226"/>
      <c r="E290" s="2226"/>
      <c r="F290" s="2226"/>
      <c r="G290" s="2226"/>
      <c r="H290" s="2226"/>
      <c r="I290" s="2225">
        <v>20</v>
      </c>
      <c r="J290" s="2225"/>
    </row>
    <row r="291" spans="1:10" s="492" customFormat="1" ht="48" customHeight="1" x14ac:dyDescent="0.35">
      <c r="A291" s="795"/>
      <c r="B291" s="733"/>
      <c r="C291" s="2226" t="s">
        <v>2148</v>
      </c>
      <c r="D291" s="2226"/>
      <c r="E291" s="2226"/>
      <c r="F291" s="2226"/>
      <c r="G291" s="2226"/>
      <c r="H291" s="2226"/>
      <c r="I291" s="2225">
        <v>25</v>
      </c>
      <c r="J291" s="2225"/>
    </row>
    <row r="292" spans="1:10" s="492" customFormat="1" ht="48" customHeight="1" x14ac:dyDescent="0.35">
      <c r="A292" s="795"/>
      <c r="B292" s="733"/>
      <c r="C292" s="2226" t="s">
        <v>2149</v>
      </c>
      <c r="D292" s="2226"/>
      <c r="E292" s="2226"/>
      <c r="F292" s="2226"/>
      <c r="G292" s="2226"/>
      <c r="H292" s="2226"/>
      <c r="I292" s="2225">
        <v>50</v>
      </c>
      <c r="J292" s="2225"/>
    </row>
    <row r="293" spans="1:10" s="492" customFormat="1" x14ac:dyDescent="0.35">
      <c r="A293" s="795"/>
      <c r="B293" s="733"/>
      <c r="C293" s="2224" t="s">
        <v>2150</v>
      </c>
      <c r="D293" s="2224"/>
      <c r="E293" s="2224"/>
      <c r="F293" s="2224"/>
      <c r="G293" s="2224"/>
      <c r="H293" s="2224"/>
      <c r="I293" s="2225">
        <v>70</v>
      </c>
      <c r="J293" s="2225"/>
    </row>
    <row r="294" spans="1:10" s="492" customFormat="1" x14ac:dyDescent="0.35">
      <c r="A294" s="795"/>
      <c r="B294" s="733"/>
      <c r="C294" s="820" t="s">
        <v>1694</v>
      </c>
      <c r="D294" s="2255" t="s">
        <v>1966</v>
      </c>
      <c r="E294" s="2255"/>
      <c r="F294" s="2255"/>
      <c r="G294" s="2255"/>
      <c r="H294" s="2255"/>
      <c r="I294" s="2255"/>
      <c r="J294" s="2255"/>
    </row>
    <row r="295" spans="1:10" s="492" customFormat="1" x14ac:dyDescent="0.35">
      <c r="A295" s="795"/>
      <c r="B295" s="733"/>
      <c r="C295" s="820"/>
      <c r="D295" s="2118"/>
      <c r="E295" s="2118"/>
      <c r="F295" s="2118"/>
      <c r="G295" s="2118"/>
      <c r="H295" s="2118"/>
      <c r="I295" s="2118"/>
      <c r="J295" s="2118"/>
    </row>
    <row r="296" spans="1:10" ht="8.25" customHeight="1" x14ac:dyDescent="0.35">
      <c r="A296" s="795"/>
      <c r="B296" s="733"/>
      <c r="C296" s="734"/>
      <c r="D296" s="734"/>
      <c r="E296" s="734"/>
      <c r="F296" s="734"/>
      <c r="G296" s="734"/>
      <c r="H296" s="734"/>
      <c r="I296" s="734"/>
      <c r="J296" s="734"/>
    </row>
    <row r="297" spans="1:10" x14ac:dyDescent="0.35">
      <c r="A297" s="799" t="s">
        <v>53</v>
      </c>
      <c r="B297" s="724"/>
      <c r="C297" s="797" t="s">
        <v>1969</v>
      </c>
      <c r="D297" s="798" t="s">
        <v>53</v>
      </c>
      <c r="E297" s="798"/>
      <c r="F297" s="726"/>
      <c r="G297" s="726"/>
      <c r="H297" s="726"/>
      <c r="I297" s="726"/>
      <c r="J297" s="726"/>
    </row>
    <row r="298" spans="1:10" s="492" customFormat="1" ht="9" hidden="1" customHeight="1" x14ac:dyDescent="0.35">
      <c r="A298" s="795"/>
      <c r="B298" s="724"/>
      <c r="C298" s="747"/>
      <c r="D298" s="747"/>
      <c r="E298" s="747"/>
      <c r="F298" s="726"/>
      <c r="G298" s="726"/>
      <c r="H298" s="726"/>
      <c r="I298" s="726"/>
      <c r="J298" s="726"/>
    </row>
    <row r="299" spans="1:10" x14ac:dyDescent="0.35">
      <c r="A299" s="795"/>
      <c r="B299" s="724"/>
      <c r="C299" s="821" t="s">
        <v>1694</v>
      </c>
      <c r="D299" s="2192" t="s">
        <v>1708</v>
      </c>
      <c r="E299" s="2192"/>
      <c r="F299" s="2192"/>
      <c r="G299" s="2192"/>
      <c r="H299" s="2192"/>
      <c r="I299" s="2192"/>
      <c r="J299" s="2192"/>
    </row>
    <row r="300" spans="1:10" s="492" customFormat="1" x14ac:dyDescent="0.35">
      <c r="A300" s="795"/>
      <c r="B300" s="724"/>
      <c r="C300" s="821"/>
      <c r="D300" s="2118"/>
      <c r="E300" s="2118"/>
      <c r="F300" s="2118"/>
      <c r="G300" s="2118"/>
      <c r="H300" s="2118"/>
      <c r="I300" s="2118"/>
      <c r="J300" s="2118"/>
    </row>
    <row r="301" spans="1:10" s="492" customFormat="1" x14ac:dyDescent="0.35">
      <c r="A301" s="795"/>
      <c r="B301" s="724"/>
      <c r="C301" s="821"/>
      <c r="D301" s="2118"/>
      <c r="E301" s="2118"/>
      <c r="F301" s="2118"/>
      <c r="G301" s="2118"/>
      <c r="H301" s="2118"/>
      <c r="I301" s="2118"/>
      <c r="J301" s="2118"/>
    </row>
    <row r="302" spans="1:10" x14ac:dyDescent="0.35">
      <c r="A302" s="795"/>
      <c r="B302" s="724"/>
      <c r="C302" s="821" t="s">
        <v>1694</v>
      </c>
      <c r="D302" s="2192" t="s">
        <v>99</v>
      </c>
      <c r="E302" s="2192"/>
      <c r="F302" s="2192"/>
      <c r="G302" s="2192"/>
      <c r="H302" s="2192"/>
      <c r="I302" s="2192"/>
      <c r="J302" s="2192"/>
    </row>
    <row r="303" spans="1:10" x14ac:dyDescent="0.35">
      <c r="A303" s="795"/>
      <c r="B303" s="724"/>
      <c r="C303" s="726"/>
      <c r="D303" s="2118"/>
      <c r="E303" s="2118"/>
      <c r="F303" s="2118"/>
      <c r="G303" s="2118"/>
      <c r="H303" s="2118"/>
      <c r="I303" s="2118"/>
      <c r="J303" s="2118"/>
    </row>
    <row r="304" spans="1:10" x14ac:dyDescent="0.35">
      <c r="A304" s="795"/>
      <c r="B304" s="724"/>
      <c r="C304" s="726"/>
      <c r="D304" s="831" t="s">
        <v>125</v>
      </c>
      <c r="E304" s="726" t="s">
        <v>54</v>
      </c>
      <c r="F304" s="726"/>
      <c r="G304" s="726"/>
      <c r="H304" s="726"/>
      <c r="I304" s="726"/>
      <c r="J304" s="726"/>
    </row>
    <row r="305" spans="1:10" x14ac:dyDescent="0.35">
      <c r="A305" s="795"/>
      <c r="B305" s="724"/>
      <c r="C305" s="728"/>
      <c r="D305" s="728"/>
      <c r="E305" s="2192" t="s">
        <v>100</v>
      </c>
      <c r="F305" s="2192"/>
      <c r="G305" s="2192"/>
      <c r="H305" s="2192"/>
      <c r="I305" s="2192"/>
      <c r="J305" s="2192"/>
    </row>
    <row r="306" spans="1:10" s="492" customFormat="1" x14ac:dyDescent="0.35">
      <c r="A306" s="795"/>
      <c r="B306" s="724"/>
      <c r="C306" s="728"/>
      <c r="D306" s="728"/>
      <c r="E306" s="2192"/>
      <c r="F306" s="2192"/>
      <c r="G306" s="2192"/>
      <c r="H306" s="2192"/>
      <c r="I306" s="2192"/>
      <c r="J306" s="2192"/>
    </row>
    <row r="307" spans="1:10" s="492" customFormat="1" x14ac:dyDescent="0.35">
      <c r="A307" s="795"/>
      <c r="B307" s="724"/>
      <c r="C307" s="728"/>
      <c r="D307" s="728"/>
      <c r="E307" s="2118"/>
      <c r="F307" s="2118"/>
      <c r="G307" s="2118"/>
      <c r="H307" s="2118"/>
      <c r="I307" s="2118"/>
      <c r="J307" s="2118"/>
    </row>
    <row r="308" spans="1:10" x14ac:dyDescent="0.35">
      <c r="A308" s="795"/>
      <c r="B308" s="724"/>
      <c r="C308" s="728"/>
      <c r="D308" s="728"/>
      <c r="E308" s="2192" t="s">
        <v>1933</v>
      </c>
      <c r="F308" s="2192"/>
      <c r="G308" s="2192"/>
      <c r="H308" s="2192"/>
      <c r="I308" s="2192"/>
      <c r="J308" s="2192"/>
    </row>
    <row r="309" spans="1:10" s="492" customFormat="1" x14ac:dyDescent="0.35">
      <c r="A309" s="795"/>
      <c r="B309" s="724"/>
      <c r="C309" s="728"/>
      <c r="D309" s="728"/>
      <c r="E309" s="2192"/>
      <c r="F309" s="2192"/>
      <c r="G309" s="2192"/>
      <c r="H309" s="2192"/>
      <c r="I309" s="2192"/>
      <c r="J309" s="2192"/>
    </row>
    <row r="310" spans="1:10" s="492" customFormat="1" x14ac:dyDescent="0.35">
      <c r="A310" s="795"/>
      <c r="B310" s="724"/>
      <c r="C310" s="728"/>
      <c r="D310" s="728"/>
      <c r="E310" s="2192"/>
      <c r="F310" s="2192"/>
      <c r="G310" s="2192"/>
      <c r="H310" s="2192"/>
      <c r="I310" s="2192"/>
      <c r="J310" s="2192"/>
    </row>
    <row r="311" spans="1:10" s="492" customFormat="1" x14ac:dyDescent="0.35">
      <c r="A311" s="795"/>
      <c r="B311" s="724"/>
      <c r="C311" s="728"/>
      <c r="D311" s="728"/>
      <c r="E311" s="2118"/>
      <c r="F311" s="2118"/>
      <c r="G311" s="2118"/>
      <c r="H311" s="2118"/>
      <c r="I311" s="2118"/>
      <c r="J311" s="2118"/>
    </row>
    <row r="312" spans="1:10" x14ac:dyDescent="0.35">
      <c r="A312" s="795"/>
      <c r="B312" s="724"/>
      <c r="C312" s="726"/>
      <c r="D312" s="831" t="s">
        <v>126</v>
      </c>
      <c r="E312" s="726" t="s">
        <v>127</v>
      </c>
      <c r="F312" s="726"/>
      <c r="G312" s="726"/>
      <c r="H312" s="726"/>
      <c r="I312" s="726"/>
      <c r="J312" s="726"/>
    </row>
    <row r="313" spans="1:10" x14ac:dyDescent="0.35">
      <c r="A313" s="795"/>
      <c r="B313" s="724"/>
      <c r="C313" s="728"/>
      <c r="D313" s="728"/>
      <c r="E313" s="2192" t="s">
        <v>1709</v>
      </c>
      <c r="F313" s="2192"/>
      <c r="G313" s="2192"/>
      <c r="H313" s="2192"/>
      <c r="I313" s="2192"/>
      <c r="J313" s="2192"/>
    </row>
    <row r="314" spans="1:10" s="492" customFormat="1" x14ac:dyDescent="0.35">
      <c r="A314" s="795"/>
      <c r="B314" s="724"/>
      <c r="C314" s="728"/>
      <c r="D314" s="728"/>
      <c r="E314" s="2192"/>
      <c r="F314" s="2192"/>
      <c r="G314" s="2192"/>
      <c r="H314" s="2192"/>
      <c r="I314" s="2192"/>
      <c r="J314" s="2192"/>
    </row>
    <row r="315" spans="1:10" s="492" customFormat="1" x14ac:dyDescent="0.35">
      <c r="A315" s="795"/>
      <c r="B315" s="724"/>
      <c r="C315" s="728"/>
      <c r="D315" s="728"/>
      <c r="E315" s="2118"/>
      <c r="F315" s="2118"/>
      <c r="G315" s="2118"/>
      <c r="H315" s="2118"/>
      <c r="I315" s="2118"/>
      <c r="J315" s="2118"/>
    </row>
    <row r="316" spans="1:10" x14ac:dyDescent="0.35">
      <c r="A316" s="795"/>
      <c r="B316" s="724"/>
      <c r="C316" s="821" t="s">
        <v>1694</v>
      </c>
      <c r="D316" s="2192" t="s">
        <v>1710</v>
      </c>
      <c r="E316" s="2192"/>
      <c r="F316" s="2192"/>
      <c r="G316" s="2192"/>
      <c r="H316" s="2192"/>
      <c r="I316" s="2192"/>
      <c r="J316" s="2192"/>
    </row>
    <row r="317" spans="1:10" s="492" customFormat="1" x14ac:dyDescent="0.35">
      <c r="A317" s="795"/>
      <c r="B317" s="724"/>
      <c r="C317" s="821"/>
      <c r="D317" s="2118"/>
      <c r="E317" s="2118"/>
      <c r="F317" s="2118"/>
      <c r="G317" s="2118"/>
      <c r="H317" s="2118"/>
      <c r="I317" s="2118"/>
      <c r="J317" s="2118"/>
    </row>
    <row r="318" spans="1:10" ht="9.75" customHeight="1" x14ac:dyDescent="0.35">
      <c r="A318" s="795"/>
      <c r="B318" s="733"/>
      <c r="C318" s="734"/>
      <c r="D318" s="734"/>
      <c r="E318" s="734"/>
      <c r="F318" s="734"/>
      <c r="G318" s="734"/>
      <c r="H318" s="734"/>
      <c r="I318" s="734"/>
      <c r="J318" s="734"/>
    </row>
    <row r="319" spans="1:10" x14ac:dyDescent="0.35">
      <c r="A319" s="799" t="s">
        <v>1676</v>
      </c>
      <c r="B319" s="733"/>
      <c r="C319" s="797" t="s">
        <v>1968</v>
      </c>
      <c r="D319" s="798" t="s">
        <v>1676</v>
      </c>
      <c r="E319" s="798"/>
      <c r="F319" s="726"/>
      <c r="G319" s="726"/>
      <c r="H319" s="726"/>
      <c r="I319" s="726"/>
      <c r="J319" s="726"/>
    </row>
    <row r="320" spans="1:10" x14ac:dyDescent="0.35">
      <c r="A320" s="795"/>
      <c r="B320" s="733"/>
      <c r="C320" s="731"/>
      <c r="D320" s="2192" t="s">
        <v>1967</v>
      </c>
      <c r="E320" s="2192"/>
      <c r="F320" s="2192"/>
      <c r="G320" s="2192"/>
      <c r="H320" s="2192"/>
      <c r="I320" s="2192"/>
      <c r="J320" s="2192"/>
    </row>
    <row r="321" spans="1:10" s="492" customFormat="1" x14ac:dyDescent="0.35">
      <c r="A321" s="795"/>
      <c r="B321" s="733"/>
      <c r="C321" s="731"/>
      <c r="D321" s="2192"/>
      <c r="E321" s="2192"/>
      <c r="F321" s="2192"/>
      <c r="G321" s="2192"/>
      <c r="H321" s="2192"/>
      <c r="I321" s="2192"/>
      <c r="J321" s="2192"/>
    </row>
    <row r="322" spans="1:10" s="492" customFormat="1" x14ac:dyDescent="0.35">
      <c r="A322" s="795"/>
      <c r="B322" s="733"/>
      <c r="C322" s="731"/>
      <c r="D322" s="2118"/>
      <c r="E322" s="2118"/>
      <c r="F322" s="2118"/>
      <c r="G322" s="2118"/>
      <c r="H322" s="2118"/>
      <c r="I322" s="2118"/>
      <c r="J322" s="2118"/>
    </row>
    <row r="323" spans="1:10" ht="12" customHeight="1" x14ac:dyDescent="0.35">
      <c r="A323" s="795"/>
      <c r="B323" s="733"/>
      <c r="C323" s="734"/>
      <c r="D323" s="734"/>
      <c r="E323" s="734"/>
      <c r="F323" s="734"/>
      <c r="G323" s="734"/>
      <c r="H323" s="734"/>
      <c r="I323" s="734"/>
      <c r="J323" s="734"/>
    </row>
    <row r="324" spans="1:10" x14ac:dyDescent="0.35">
      <c r="D324" s="438"/>
      <c r="E324" s="438"/>
      <c r="F324" s="438"/>
      <c r="G324" s="438"/>
      <c r="H324" s="438"/>
      <c r="I324" s="438"/>
    </row>
  </sheetData>
  <customSheetViews>
    <customSheetView guid="{EBF27D8D-2DD9-43E5-8C42-19F0B73014F5}" showPageBreaks="1" view="pageBreakPreview">
      <selection activeCell="I106" sqref="I106"/>
      <rowBreaks count="2" manualBreakCount="2">
        <brk id="52" max="9" man="1"/>
        <brk id="71" max="9" man="1"/>
      </rowBreaks>
      <pageMargins left="0.70866141732283472" right="0.62992125984251968" top="0.6692913385826772" bottom="0.74803149606299213" header="0.31496062992125984" footer="0.31496062992125984"/>
      <pageSetup paperSize="9" firstPageNumber="7" orientation="portrait" useFirstPageNumber="1" horizontalDpi="4294967294" r:id="rId1"/>
      <headerFooter>
        <oddFooter>&amp;L&amp;"Calibri,Bold Italic"&amp;U&amp;K0070C0Catatan atas Laporan Keuangan&amp;R&amp;"Calibri,Bold Italic"&amp;K0070C0&amp;P</oddFooter>
      </headerFooter>
    </customSheetView>
  </customSheetViews>
  <mergeCells count="131">
    <mergeCell ref="A31:A33"/>
    <mergeCell ref="E305:J307"/>
    <mergeCell ref="E308:J311"/>
    <mergeCell ref="E313:J315"/>
    <mergeCell ref="D316:J317"/>
    <mergeCell ref="D320:J322"/>
    <mergeCell ref="D104:J106"/>
    <mergeCell ref="D264:J266"/>
    <mergeCell ref="D267:J269"/>
    <mergeCell ref="D273:J277"/>
    <mergeCell ref="C255:J255"/>
    <mergeCell ref="D278:J279"/>
    <mergeCell ref="D280:J282"/>
    <mergeCell ref="D294:J295"/>
    <mergeCell ref="D299:J301"/>
    <mergeCell ref="D302:J303"/>
    <mergeCell ref="C256:H256"/>
    <mergeCell ref="I256:J256"/>
    <mergeCell ref="C257:H257"/>
    <mergeCell ref="I257:J257"/>
    <mergeCell ref="C258:H258"/>
    <mergeCell ref="I258:J258"/>
    <mergeCell ref="C259:H259"/>
    <mergeCell ref="I259:J259"/>
    <mergeCell ref="D208:J209"/>
    <mergeCell ref="D210:J211"/>
    <mergeCell ref="E212:J214"/>
    <mergeCell ref="C260:H260"/>
    <mergeCell ref="I260:J260"/>
    <mergeCell ref="E215:J216"/>
    <mergeCell ref="E217:J221"/>
    <mergeCell ref="D222:J227"/>
    <mergeCell ref="D228:J231"/>
    <mergeCell ref="D235:J236"/>
    <mergeCell ref="D244:J245"/>
    <mergeCell ref="D246:J248"/>
    <mergeCell ref="D249:J254"/>
    <mergeCell ref="F179:I180"/>
    <mergeCell ref="J179:J180"/>
    <mergeCell ref="D179:E180"/>
    <mergeCell ref="D159:J161"/>
    <mergeCell ref="D162:J162"/>
    <mergeCell ref="E163:J166"/>
    <mergeCell ref="D147:J149"/>
    <mergeCell ref="E167:J170"/>
    <mergeCell ref="D205:J207"/>
    <mergeCell ref="G189:I190"/>
    <mergeCell ref="F189:F190"/>
    <mergeCell ref="C52:J56"/>
    <mergeCell ref="C97:J100"/>
    <mergeCell ref="D142:J144"/>
    <mergeCell ref="D114:J116"/>
    <mergeCell ref="D102:J103"/>
    <mergeCell ref="D111:J113"/>
    <mergeCell ref="D120:J122"/>
    <mergeCell ref="D145:J146"/>
    <mergeCell ref="D136:J138"/>
    <mergeCell ref="E117:J117"/>
    <mergeCell ref="E118:J118"/>
    <mergeCell ref="E119:J119"/>
    <mergeCell ref="D123:J123"/>
    <mergeCell ref="D109:J109"/>
    <mergeCell ref="D107:J107"/>
    <mergeCell ref="D83:J83"/>
    <mergeCell ref="C86:J96"/>
    <mergeCell ref="D127:J130"/>
    <mergeCell ref="D132:J135"/>
    <mergeCell ref="C80:J82"/>
    <mergeCell ref="C69:J73"/>
    <mergeCell ref="C75:J79"/>
    <mergeCell ref="A1:J1"/>
    <mergeCell ref="A2:J2"/>
    <mergeCell ref="D9:J9"/>
    <mergeCell ref="A262:A264"/>
    <mergeCell ref="C57:J65"/>
    <mergeCell ref="C6:J6"/>
    <mergeCell ref="A3:J4"/>
    <mergeCell ref="D18:J18"/>
    <mergeCell ref="C31:J31"/>
    <mergeCell ref="D27:J27"/>
    <mergeCell ref="D28:J28"/>
    <mergeCell ref="D29:J29"/>
    <mergeCell ref="C10:J17"/>
    <mergeCell ref="C19:J21"/>
    <mergeCell ref="C23:J26"/>
    <mergeCell ref="D181:E183"/>
    <mergeCell ref="F181:I183"/>
    <mergeCell ref="J181:J183"/>
    <mergeCell ref="D184:E185"/>
    <mergeCell ref="A7:A9"/>
    <mergeCell ref="C32:J39"/>
    <mergeCell ref="C41:J48"/>
    <mergeCell ref="E240:J243"/>
    <mergeCell ref="C7:J8"/>
    <mergeCell ref="C293:H293"/>
    <mergeCell ref="I291:J291"/>
    <mergeCell ref="I292:J292"/>
    <mergeCell ref="I293:J293"/>
    <mergeCell ref="C288:H288"/>
    <mergeCell ref="C289:H289"/>
    <mergeCell ref="I287:J287"/>
    <mergeCell ref="I288:J288"/>
    <mergeCell ref="I289:J289"/>
    <mergeCell ref="C290:H290"/>
    <mergeCell ref="I290:J290"/>
    <mergeCell ref="C291:H291"/>
    <mergeCell ref="C292:H292"/>
    <mergeCell ref="D283:J283"/>
    <mergeCell ref="I285:J285"/>
    <mergeCell ref="I286:J286"/>
    <mergeCell ref="C285:H286"/>
    <mergeCell ref="C284:J284"/>
    <mergeCell ref="C287:H287"/>
    <mergeCell ref="C153:J154"/>
    <mergeCell ref="D237:J237"/>
    <mergeCell ref="D156:J158"/>
    <mergeCell ref="F184:I185"/>
    <mergeCell ref="J184:J185"/>
    <mergeCell ref="F186:F188"/>
    <mergeCell ref="D192:J195"/>
    <mergeCell ref="D196:J197"/>
    <mergeCell ref="E198:J198"/>
    <mergeCell ref="E199:J199"/>
    <mergeCell ref="E200:J201"/>
    <mergeCell ref="D171:J176"/>
    <mergeCell ref="D186:E190"/>
    <mergeCell ref="G186:I188"/>
    <mergeCell ref="J186:J190"/>
    <mergeCell ref="D177:E178"/>
    <mergeCell ref="F177:I178"/>
    <mergeCell ref="J177:J178"/>
  </mergeCells>
  <printOptions horizontalCentered="1"/>
  <pageMargins left="0.31496062992125984" right="0.23622047244094491" top="0.74803149606299213" bottom="0.86614173228346458" header="0.31496062992125984" footer="0.31496062992125984"/>
  <pageSetup paperSize="9" scale="93" firstPageNumber="9" fitToHeight="0" orientation="portrait" useFirstPageNumber="1" horizontalDpi="4294967294" r:id="rId2"/>
  <headerFooter>
    <oddFooter>&amp;C&amp;"+,Bold Italic"&amp;K000099&amp;P</oddFooter>
  </headerFooter>
  <rowBreaks count="7" manualBreakCount="7">
    <brk id="30" max="9" man="1"/>
    <brk id="74" max="9" man="1"/>
    <brk id="118" max="9" man="1"/>
    <brk id="166" max="9" man="1"/>
    <brk id="209" max="9" man="1"/>
    <brk id="254" max="9" man="1"/>
    <brk id="293" max="9" man="1"/>
  </rowBreaks>
  <drawing r:id="rId3"/>
  <legacyDrawing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Y274"/>
  <sheetViews>
    <sheetView view="pageBreakPreview" topLeftCell="A262" zoomScale="90" zoomScaleNormal="80" zoomScaleSheetLayoutView="90" workbookViewId="0">
      <selection activeCell="B211" sqref="A211:XFD211"/>
    </sheetView>
  </sheetViews>
  <sheetFormatPr defaultColWidth="10" defaultRowHeight="18.5" x14ac:dyDescent="0.45"/>
  <cols>
    <col min="1" max="1" width="12" style="335" customWidth="1"/>
    <col min="2" max="2" width="3.08203125" style="335" customWidth="1"/>
    <col min="3" max="3" width="5.75" style="335" customWidth="1"/>
    <col min="4" max="4" width="27.08203125" style="335" customWidth="1"/>
    <col min="5" max="5" width="15.83203125" style="335" customWidth="1"/>
    <col min="6" max="6" width="16" style="335" customWidth="1"/>
    <col min="7" max="7" width="9.58203125" style="335" customWidth="1"/>
    <col min="8" max="8" width="6" style="335" customWidth="1"/>
    <col min="9" max="9" width="9" style="505"/>
    <col min="10" max="10" width="9" style="518"/>
    <col min="11" max="11" width="2.08203125" style="518" customWidth="1"/>
    <col min="12" max="12" width="9" style="518"/>
    <col min="13" max="14" width="13.25" style="518" customWidth="1"/>
    <col min="15" max="15" width="12.75" style="518" customWidth="1"/>
    <col min="16" max="22" width="2.83203125" style="519" customWidth="1"/>
    <col min="23" max="23" width="9" style="519"/>
    <col min="24" max="24" width="20.33203125" style="335" customWidth="1"/>
    <col min="25" max="25" width="28.5" style="335" customWidth="1"/>
    <col min="26" max="16384" width="10" style="335"/>
  </cols>
  <sheetData>
    <row r="1" spans="1:23" ht="22.5" customHeight="1" x14ac:dyDescent="0.45">
      <c r="A1" s="2124" t="str">
        <f>'2 kata'!B1</f>
        <v>Laporan Keuangan Balai Pelestarian Nilai Budaya Bali Untuk Periode yang Berakhir 31 Desember 2019</v>
      </c>
      <c r="B1" s="2124"/>
      <c r="C1" s="2124"/>
      <c r="D1" s="2124"/>
      <c r="E1" s="2124"/>
      <c r="F1" s="2124"/>
      <c r="G1" s="2124"/>
      <c r="H1" s="2124"/>
    </row>
    <row r="2" spans="1:23" ht="4.5" customHeight="1" x14ac:dyDescent="0.45">
      <c r="A2" s="2350"/>
      <c r="B2" s="2350"/>
      <c r="C2" s="2350"/>
      <c r="D2" s="2350"/>
      <c r="E2" s="2350"/>
      <c r="F2" s="2350"/>
      <c r="G2" s="2350"/>
      <c r="H2" s="2350"/>
    </row>
    <row r="3" spans="1:23" ht="20.25" customHeight="1" x14ac:dyDescent="0.4">
      <c r="A3" s="498"/>
      <c r="B3" s="487"/>
      <c r="C3" s="2351" t="s">
        <v>1892</v>
      </c>
      <c r="D3" s="2351"/>
      <c r="E3" s="2351"/>
      <c r="F3" s="2351"/>
      <c r="G3" s="2351"/>
      <c r="H3" s="2351"/>
      <c r="I3" s="506"/>
      <c r="J3" s="520"/>
    </row>
    <row r="4" spans="1:23" s="492" customFormat="1" ht="20.25" customHeight="1" x14ac:dyDescent="0.4">
      <c r="A4" s="498"/>
      <c r="B4" s="487"/>
      <c r="C4" s="2291" t="str">
        <f>"Selama periode berjalan, "&amp;Input!$M$13&amp;" "&amp;J4&amp;" mengadakan revisi Daftar Isian Pelaksanaan Anggaran (DIPA) dari DIPA awal."</f>
        <v>Selama periode berjalan, BALAI PELESTARIAN NILAI BUDAYA BALI sudah mengadakan revisi Daftar Isian Pelaksanaan Anggaran (DIPA) dari DIPA awal.</v>
      </c>
      <c r="D4" s="2291"/>
      <c r="E4" s="2291"/>
      <c r="F4" s="2291"/>
      <c r="G4" s="2291"/>
      <c r="H4" s="2291"/>
      <c r="I4" s="506"/>
      <c r="J4" s="1410" t="s">
        <v>2326</v>
      </c>
      <c r="L4" s="1409" t="s">
        <v>2320</v>
      </c>
      <c r="M4" s="518"/>
      <c r="N4" s="518"/>
      <c r="O4" s="518"/>
      <c r="P4" s="1328"/>
      <c r="Q4" s="1328"/>
      <c r="R4" s="1328"/>
      <c r="S4" s="1328"/>
      <c r="T4" s="1328"/>
      <c r="U4" s="1328"/>
      <c r="V4" s="1328"/>
      <c r="W4" s="1328"/>
    </row>
    <row r="5" spans="1:23" s="492" customFormat="1" ht="16.5" customHeight="1" x14ac:dyDescent="0.4">
      <c r="A5" s="498"/>
      <c r="B5" s="487"/>
      <c r="C5" s="2291"/>
      <c r="D5" s="2291"/>
      <c r="E5" s="2291"/>
      <c r="F5" s="2291"/>
      <c r="G5" s="2291"/>
      <c r="H5" s="2291"/>
      <c r="I5" s="506"/>
      <c r="J5" s="520"/>
      <c r="K5" s="518"/>
      <c r="L5" s="518"/>
      <c r="M5" s="518"/>
      <c r="N5" s="518"/>
      <c r="O5" s="518"/>
      <c r="P5" s="1328"/>
      <c r="Q5" s="1328"/>
      <c r="R5" s="1328"/>
      <c r="S5" s="1328"/>
      <c r="T5" s="1328"/>
      <c r="U5" s="1328"/>
      <c r="V5" s="1328"/>
      <c r="W5" s="1328"/>
    </row>
    <row r="6" spans="1:23" s="492" customFormat="1" ht="20.25" customHeight="1" x14ac:dyDescent="0.4">
      <c r="A6" s="498"/>
      <c r="B6" s="487"/>
      <c r="C6" s="2292" t="str">
        <f>IF(J4="sudah",J6,"")</f>
        <v>Hal ini disebabkan oleh adanya perubahan kegiatan sesuai dengan kebutuhan dan situasi serta kondisi pada saat pelaksanaan. perubahan tersebut berupa dana yang tidak dapat dicairkan dalam belanja barang serta perubahan jumlah nilai dalam akun yang mengakibatkan penambahan anggaran belanja barang atau pagu minus pada belanja pegawai. Berikut ini adalah anggaran awal dan anggaran setelah revisi :</v>
      </c>
      <c r="D6" s="2292"/>
      <c r="E6" s="2292"/>
      <c r="F6" s="2292"/>
      <c r="G6" s="2292"/>
      <c r="H6" s="2292"/>
      <c r="I6" s="506"/>
      <c r="J6" s="2476" t="s">
        <v>2395</v>
      </c>
      <c r="K6" s="2477"/>
      <c r="L6" s="2477"/>
      <c r="M6" s="2477"/>
      <c r="N6" s="2477"/>
      <c r="O6" s="2477"/>
      <c r="P6" s="2477"/>
      <c r="Q6" s="2477"/>
      <c r="R6" s="2477"/>
      <c r="S6" s="2477"/>
      <c r="T6" s="2477"/>
      <c r="U6" s="2477"/>
      <c r="V6" s="2478"/>
      <c r="W6" s="1328"/>
    </row>
    <row r="7" spans="1:23" s="492" customFormat="1" ht="20.25" customHeight="1" x14ac:dyDescent="0.4">
      <c r="A7" s="498"/>
      <c r="B7" s="487"/>
      <c r="C7" s="2292"/>
      <c r="D7" s="2292"/>
      <c r="E7" s="2292"/>
      <c r="F7" s="2292"/>
      <c r="G7" s="2292"/>
      <c r="H7" s="2292"/>
      <c r="I7" s="506"/>
      <c r="J7" s="2479"/>
      <c r="K7" s="2480"/>
      <c r="L7" s="2480"/>
      <c r="M7" s="2480"/>
      <c r="N7" s="2480"/>
      <c r="O7" s="2480"/>
      <c r="P7" s="2480"/>
      <c r="Q7" s="2480"/>
      <c r="R7" s="2480"/>
      <c r="S7" s="2480"/>
      <c r="T7" s="2480"/>
      <c r="U7" s="2480"/>
      <c r="V7" s="2481"/>
      <c r="W7" s="1328"/>
    </row>
    <row r="8" spans="1:23" s="492" customFormat="1" ht="44" customHeight="1" x14ac:dyDescent="0.4">
      <c r="A8" s="498"/>
      <c r="B8" s="487"/>
      <c r="C8" s="2292"/>
      <c r="D8" s="2292"/>
      <c r="E8" s="2292"/>
      <c r="F8" s="2292"/>
      <c r="G8" s="2292"/>
      <c r="H8" s="2292"/>
      <c r="I8" s="506"/>
      <c r="J8" s="2479"/>
      <c r="K8" s="2480"/>
      <c r="L8" s="2480"/>
      <c r="M8" s="2480"/>
      <c r="N8" s="2480"/>
      <c r="O8" s="2480"/>
      <c r="P8" s="2480"/>
      <c r="Q8" s="2480"/>
      <c r="R8" s="2480"/>
      <c r="S8" s="2480"/>
      <c r="T8" s="2480"/>
      <c r="U8" s="2480"/>
      <c r="V8" s="2481"/>
      <c r="W8" s="1328"/>
    </row>
    <row r="9" spans="1:23" s="492" customFormat="1" ht="17.25" customHeight="1" x14ac:dyDescent="0.4">
      <c r="A9" s="499"/>
      <c r="B9" s="2302" t="s">
        <v>2229</v>
      </c>
      <c r="C9" s="2302"/>
      <c r="D9" s="2302"/>
      <c r="E9" s="2302"/>
      <c r="F9" s="2302"/>
      <c r="G9" s="2302"/>
      <c r="H9" s="2302"/>
      <c r="I9" s="509"/>
      <c r="J9" s="2482"/>
      <c r="K9" s="2483"/>
      <c r="L9" s="2483"/>
      <c r="M9" s="2483"/>
      <c r="N9" s="2483"/>
      <c r="O9" s="2483"/>
      <c r="P9" s="2483"/>
      <c r="Q9" s="2483"/>
      <c r="R9" s="2483"/>
      <c r="S9" s="2483"/>
      <c r="T9" s="2483"/>
      <c r="U9" s="2483"/>
      <c r="V9" s="2484"/>
      <c r="W9" s="1364"/>
    </row>
    <row r="10" spans="1:23" s="492" customFormat="1" ht="18.75" customHeight="1" x14ac:dyDescent="0.4">
      <c r="A10" s="498"/>
      <c r="B10" s="2293" t="s">
        <v>264</v>
      </c>
      <c r="C10" s="2294"/>
      <c r="D10" s="2294"/>
      <c r="E10" s="2295"/>
      <c r="F10" s="2299" t="str">
        <f>Input!$M$24</f>
        <v>31 Desember 2019</v>
      </c>
      <c r="G10" s="2300"/>
      <c r="H10" s="2300"/>
      <c r="I10" s="506"/>
      <c r="J10" s="520"/>
      <c r="K10" s="518"/>
      <c r="L10" s="518"/>
      <c r="M10" s="518"/>
      <c r="N10" s="518"/>
      <c r="O10" s="518"/>
      <c r="P10" s="1328"/>
      <c r="Q10" s="1328"/>
      <c r="R10" s="1328"/>
      <c r="S10" s="1328"/>
      <c r="T10" s="1328"/>
      <c r="U10" s="1328"/>
      <c r="V10" s="1328"/>
      <c r="W10" s="1328"/>
    </row>
    <row r="11" spans="1:23" s="492" customFormat="1" ht="30" x14ac:dyDescent="0.4">
      <c r="A11" s="498"/>
      <c r="B11" s="2296"/>
      <c r="C11" s="2297"/>
      <c r="D11" s="2297"/>
      <c r="E11" s="2298"/>
      <c r="F11" s="1354" t="s">
        <v>2211</v>
      </c>
      <c r="G11" s="2301" t="s">
        <v>2212</v>
      </c>
      <c r="H11" s="2301"/>
      <c r="I11" s="506"/>
      <c r="J11" s="520"/>
      <c r="K11" s="518"/>
      <c r="L11" s="518"/>
      <c r="M11" s="518"/>
      <c r="N11" s="518"/>
      <c r="O11" s="518"/>
      <c r="P11" s="1328"/>
      <c r="Q11" s="1328"/>
      <c r="R11" s="1328"/>
      <c r="S11" s="1328"/>
      <c r="T11" s="1328"/>
      <c r="U11" s="1328"/>
      <c r="V11" s="1328"/>
      <c r="W11" s="1328"/>
    </row>
    <row r="12" spans="1:23" s="492" customFormat="1" x14ac:dyDescent="0.4">
      <c r="A12" s="498"/>
      <c r="B12" s="2288" t="s">
        <v>2213</v>
      </c>
      <c r="C12" s="2289"/>
      <c r="D12" s="2289"/>
      <c r="E12" s="2290"/>
      <c r="F12" s="1355"/>
      <c r="G12" s="2260"/>
      <c r="H12" s="2260"/>
      <c r="I12" s="506"/>
      <c r="J12" s="520"/>
      <c r="K12" s="518"/>
      <c r="L12" s="518"/>
      <c r="M12" s="518"/>
      <c r="N12" s="518"/>
      <c r="O12" s="518"/>
      <c r="P12" s="1328"/>
      <c r="Q12" s="1328"/>
      <c r="R12" s="1328"/>
      <c r="S12" s="1328"/>
      <c r="T12" s="1328"/>
      <c r="U12" s="1328"/>
      <c r="V12" s="1328"/>
      <c r="W12" s="1328"/>
    </row>
    <row r="13" spans="1:23" s="492" customFormat="1" x14ac:dyDescent="0.4">
      <c r="A13" s="498"/>
      <c r="B13" s="1353"/>
      <c r="C13" s="2262" t="s">
        <v>1786</v>
      </c>
      <c r="D13" s="2262"/>
      <c r="E13" s="2263"/>
      <c r="F13" s="1355">
        <v>0</v>
      </c>
      <c r="G13" s="2260">
        <v>0</v>
      </c>
      <c r="H13" s="2260"/>
      <c r="I13" s="506"/>
      <c r="J13" s="520"/>
      <c r="K13" s="518"/>
      <c r="L13" s="518"/>
      <c r="M13" s="518"/>
      <c r="N13" s="518"/>
      <c r="O13" s="518"/>
      <c r="P13" s="1328"/>
      <c r="Q13" s="1328"/>
      <c r="R13" s="1328"/>
      <c r="S13" s="1328"/>
      <c r="T13" s="1328"/>
      <c r="U13" s="1328"/>
      <c r="V13" s="1328"/>
      <c r="W13" s="1328"/>
    </row>
    <row r="14" spans="1:23" s="492" customFormat="1" x14ac:dyDescent="0.4">
      <c r="A14" s="498"/>
      <c r="B14" s="1353"/>
      <c r="C14" s="2262" t="s">
        <v>1787</v>
      </c>
      <c r="D14" s="2262"/>
      <c r="E14" s="2263"/>
      <c r="F14" s="1355">
        <v>0</v>
      </c>
      <c r="G14" s="2260">
        <v>0</v>
      </c>
      <c r="H14" s="2260"/>
      <c r="I14" s="506"/>
      <c r="J14" s="520"/>
      <c r="K14" s="518"/>
      <c r="L14" s="518"/>
      <c r="M14" s="518"/>
      <c r="N14" s="518"/>
      <c r="O14" s="518"/>
      <c r="P14" s="1328"/>
      <c r="Q14" s="1328"/>
      <c r="R14" s="1328"/>
      <c r="S14" s="1328"/>
      <c r="T14" s="1328"/>
      <c r="U14" s="1328"/>
      <c r="V14" s="1328"/>
      <c r="W14" s="1328"/>
    </row>
    <row r="15" spans="1:23" s="492" customFormat="1" x14ac:dyDescent="0.4">
      <c r="A15" s="498"/>
      <c r="B15" s="2264" t="s">
        <v>2214</v>
      </c>
      <c r="C15" s="2265"/>
      <c r="D15" s="2265"/>
      <c r="E15" s="2266"/>
      <c r="F15" s="1356">
        <f>SUM(F13:F14)</f>
        <v>0</v>
      </c>
      <c r="G15" s="2285">
        <f>SUM(G13:H14)</f>
        <v>0</v>
      </c>
      <c r="H15" s="2285"/>
      <c r="I15" s="506"/>
      <c r="J15" s="520"/>
      <c r="K15" s="518"/>
      <c r="L15" s="518"/>
      <c r="M15" s="518"/>
      <c r="N15" s="518"/>
      <c r="O15" s="518"/>
      <c r="P15" s="1328"/>
      <c r="Q15" s="1328"/>
      <c r="R15" s="1328"/>
      <c r="S15" s="1328"/>
      <c r="T15" s="1328"/>
      <c r="U15" s="1328"/>
      <c r="V15" s="1328"/>
      <c r="W15" s="1328"/>
    </row>
    <row r="16" spans="1:23" s="492" customFormat="1" x14ac:dyDescent="0.4">
      <c r="A16" s="498"/>
      <c r="B16" s="2288" t="s">
        <v>95</v>
      </c>
      <c r="C16" s="2289"/>
      <c r="D16" s="2289"/>
      <c r="E16" s="2290"/>
      <c r="F16" s="1355"/>
      <c r="G16" s="2260"/>
      <c r="H16" s="2260"/>
      <c r="I16" s="506"/>
      <c r="J16" s="520"/>
      <c r="K16" s="518"/>
      <c r="L16" s="518"/>
      <c r="M16" s="518"/>
      <c r="N16" s="518"/>
      <c r="O16" s="518"/>
      <c r="P16" s="1328"/>
      <c r="Q16" s="1328"/>
      <c r="R16" s="1328"/>
      <c r="S16" s="1328"/>
      <c r="T16" s="1328"/>
      <c r="U16" s="1328"/>
      <c r="V16" s="1328"/>
      <c r="W16" s="1328"/>
    </row>
    <row r="17" spans="1:23" s="492" customFormat="1" x14ac:dyDescent="0.4">
      <c r="A17" s="498"/>
      <c r="B17" s="1353"/>
      <c r="C17" s="2262" t="s">
        <v>64</v>
      </c>
      <c r="D17" s="2262"/>
      <c r="E17" s="2263"/>
      <c r="F17" s="1355">
        <v>3534183000</v>
      </c>
      <c r="G17" s="2286">
        <f>Input!I601</f>
        <v>3443983000</v>
      </c>
      <c r="H17" s="2287"/>
      <c r="I17" s="506"/>
      <c r="J17" s="520"/>
      <c r="K17" s="518"/>
      <c r="L17" s="518"/>
      <c r="M17" s="518"/>
      <c r="N17" s="518"/>
      <c r="O17" s="518"/>
      <c r="P17" s="1328"/>
      <c r="Q17" s="1328"/>
      <c r="R17" s="1328"/>
      <c r="S17" s="1328"/>
      <c r="T17" s="1328"/>
      <c r="U17" s="1328"/>
      <c r="V17" s="1328"/>
      <c r="W17" s="1328"/>
    </row>
    <row r="18" spans="1:23" s="492" customFormat="1" x14ac:dyDescent="0.4">
      <c r="A18" s="498"/>
      <c r="B18" s="1353"/>
      <c r="C18" s="2262" t="s">
        <v>66</v>
      </c>
      <c r="D18" s="2262"/>
      <c r="E18" s="2263"/>
      <c r="F18" s="1355">
        <v>8423334000</v>
      </c>
      <c r="G18" s="2286">
        <f>Input!I602</f>
        <v>7044703000</v>
      </c>
      <c r="H18" s="2287"/>
      <c r="I18" s="506"/>
      <c r="J18" s="520"/>
      <c r="K18" s="518"/>
      <c r="L18" s="518"/>
      <c r="M18" s="518"/>
      <c r="N18" s="518"/>
      <c r="O18" s="518"/>
      <c r="P18" s="1328"/>
      <c r="Q18" s="1328"/>
      <c r="R18" s="1328"/>
      <c r="S18" s="1328"/>
      <c r="T18" s="1328"/>
      <c r="U18" s="1328"/>
      <c r="V18" s="1328"/>
      <c r="W18" s="1328"/>
    </row>
    <row r="19" spans="1:23" s="492" customFormat="1" x14ac:dyDescent="0.4">
      <c r="A19" s="498"/>
      <c r="B19" s="1353"/>
      <c r="C19" s="2262" t="s">
        <v>68</v>
      </c>
      <c r="D19" s="2262"/>
      <c r="E19" s="2263"/>
      <c r="F19" s="1355">
        <v>978480000</v>
      </c>
      <c r="G19" s="2286">
        <f>Input!I603</f>
        <v>1483280000</v>
      </c>
      <c r="H19" s="2287"/>
      <c r="I19" s="506"/>
      <c r="J19" s="520"/>
      <c r="K19" s="518"/>
      <c r="L19" s="518"/>
      <c r="M19" s="518"/>
      <c r="N19" s="518"/>
      <c r="O19" s="518"/>
      <c r="P19" s="1328"/>
      <c r="Q19" s="1328"/>
      <c r="R19" s="1328"/>
      <c r="S19" s="1328"/>
      <c r="T19" s="1328"/>
      <c r="U19" s="1328"/>
      <c r="V19" s="1328"/>
      <c r="W19" s="1328"/>
    </row>
    <row r="20" spans="1:23" s="492" customFormat="1" x14ac:dyDescent="0.4">
      <c r="A20" s="498"/>
      <c r="B20" s="1353"/>
      <c r="C20" s="2262" t="s">
        <v>1671</v>
      </c>
      <c r="D20" s="2262"/>
      <c r="E20" s="2263"/>
      <c r="F20" s="1355">
        <v>0</v>
      </c>
      <c r="G20" s="2260">
        <v>0</v>
      </c>
      <c r="H20" s="2260"/>
      <c r="I20" s="506"/>
      <c r="J20" s="520"/>
      <c r="K20" s="518"/>
      <c r="L20" s="518"/>
      <c r="M20" s="518"/>
      <c r="N20" s="518"/>
      <c r="O20" s="518"/>
      <c r="P20" s="1328"/>
      <c r="Q20" s="1328"/>
      <c r="R20" s="1328"/>
      <c r="S20" s="1328"/>
      <c r="T20" s="1328"/>
      <c r="U20" s="1328"/>
      <c r="V20" s="1328"/>
      <c r="W20" s="1328"/>
    </row>
    <row r="21" spans="1:23" s="492" customFormat="1" x14ac:dyDescent="0.4">
      <c r="A21" s="498"/>
      <c r="B21" s="2264" t="s">
        <v>1843</v>
      </c>
      <c r="C21" s="2265"/>
      <c r="D21" s="2265"/>
      <c r="E21" s="2266"/>
      <c r="F21" s="1380">
        <f>SUM(F17:F20)</f>
        <v>12935997000</v>
      </c>
      <c r="G21" s="2261">
        <f t="shared" ref="G21:H21" si="0">SUM(G17:G20)</f>
        <v>11971966000</v>
      </c>
      <c r="H21" s="2261">
        <f t="shared" si="0"/>
        <v>0</v>
      </c>
      <c r="I21" s="506"/>
      <c r="J21" s="520"/>
      <c r="K21" s="518"/>
      <c r="L21" s="518"/>
      <c r="M21" s="518"/>
      <c r="N21" s="518"/>
      <c r="O21" s="518"/>
      <c r="P21" s="1328"/>
      <c r="Q21" s="1328"/>
      <c r="R21" s="1328"/>
      <c r="S21" s="1328"/>
      <c r="T21" s="1328"/>
      <c r="U21" s="1328"/>
      <c r="V21" s="1328"/>
      <c r="W21" s="1328"/>
    </row>
    <row r="22" spans="1:23" s="492" customFormat="1" ht="6.75" customHeight="1" x14ac:dyDescent="0.4">
      <c r="A22" s="498"/>
      <c r="B22" s="487"/>
      <c r="C22" s="1352"/>
      <c r="D22" s="1352"/>
      <c r="E22" s="1352"/>
      <c r="F22" s="1352"/>
      <c r="G22" s="1352"/>
      <c r="H22" s="1352"/>
      <c r="I22" s="506"/>
      <c r="J22" s="520"/>
      <c r="K22" s="518"/>
      <c r="L22" s="518"/>
      <c r="M22" s="518"/>
      <c r="N22" s="518"/>
      <c r="O22" s="518"/>
      <c r="P22" s="1328"/>
      <c r="Q22" s="1328"/>
      <c r="R22" s="1328"/>
      <c r="S22" s="1328"/>
      <c r="T22" s="1328"/>
      <c r="U22" s="1328"/>
      <c r="V22" s="1328"/>
      <c r="W22" s="1328"/>
    </row>
    <row r="23" spans="1:23" ht="15.75" customHeight="1" x14ac:dyDescent="0.4">
      <c r="A23" s="2259" t="str">
        <f>"Realisasi Pendapatan  "&amp;TEXT($F$41,"Rp#.##0")</f>
        <v>Realisasi Pendapatan  Rp3.299.999</v>
      </c>
      <c r="B23" s="488"/>
      <c r="C23" s="741" t="s">
        <v>1850</v>
      </c>
      <c r="D23" s="741"/>
      <c r="E23" s="741"/>
      <c r="F23" s="741"/>
      <c r="G23" s="741"/>
      <c r="H23" s="741"/>
      <c r="I23" s="507"/>
      <c r="J23" s="521"/>
      <c r="K23" s="522"/>
      <c r="L23" s="522"/>
      <c r="M23" s="522"/>
    </row>
    <row r="24" spans="1:23" ht="15.75" customHeight="1" x14ac:dyDescent="0.4">
      <c r="A24" s="2259"/>
      <c r="B24" s="488"/>
      <c r="C24" s="2192" t="str">
        <f>"Realisasi Pendapatan untuk periode yang berakhir pada "&amp;Input!$M$24&amp;" adalah sebesar "&amp;TEXT($F$41,"Rp#.##0")&amp;" atau mencapai "&amp;TEXT($G$41,"00,00%")&amp;" persen dari estimasi pendapatan yang ditetapkan sebesar "&amp;TEXT($E$41,"Rp#.##0")&amp;". Pendapatan Satuan kerja "&amp;Input!$M$13&amp;" terdiri dari "&amp;TEXT($J$26,)&amp;""</f>
        <v>Realisasi Pendapatan untuk periode yang berakhir pada 31 Desember 2019 adalah sebesar Rp3.299.999 atau mencapai 00,00% persen dari estimasi pendapatan yang ditetapkan sebesar Rp0. Pendapatan Satuan kerja BALAI PELESTARIAN NILAI BUDAYA BALI terdiri dari Lelang Sepeda Motor Merk Honda dan Pendapatan dari temuan perjadin tahun sebelumnya</v>
      </c>
      <c r="D24" s="2192"/>
      <c r="E24" s="2192"/>
      <c r="F24" s="2192"/>
      <c r="G24" s="2192"/>
      <c r="H24" s="2192"/>
      <c r="I24" s="508"/>
      <c r="J24" s="2305" t="s">
        <v>1852</v>
      </c>
      <c r="K24" s="2306"/>
      <c r="L24" s="2306"/>
      <c r="M24" s="2306"/>
      <c r="N24" s="2307"/>
    </row>
    <row r="25" spans="1:23" x14ac:dyDescent="0.4">
      <c r="A25" s="2259"/>
      <c r="B25" s="488"/>
      <c r="C25" s="2192"/>
      <c r="D25" s="2192"/>
      <c r="E25" s="2192"/>
      <c r="F25" s="2192"/>
      <c r="G25" s="2192"/>
      <c r="H25" s="2192"/>
      <c r="I25" s="508"/>
      <c r="J25" s="2308"/>
      <c r="K25" s="2309"/>
      <c r="L25" s="2309"/>
      <c r="M25" s="2309"/>
      <c r="N25" s="2310"/>
    </row>
    <row r="26" spans="1:23" x14ac:dyDescent="0.4">
      <c r="A26" s="2259"/>
      <c r="B26" s="488"/>
      <c r="C26" s="2192"/>
      <c r="D26" s="2192"/>
      <c r="E26" s="2192"/>
      <c r="F26" s="2192"/>
      <c r="G26" s="2192"/>
      <c r="H26" s="2192"/>
      <c r="I26" s="508"/>
      <c r="J26" s="2394" t="s">
        <v>2396</v>
      </c>
      <c r="K26" s="2395"/>
      <c r="L26" s="2395"/>
      <c r="M26" s="2395"/>
      <c r="N26" s="2396"/>
    </row>
    <row r="27" spans="1:23" ht="29.25" customHeight="1" x14ac:dyDescent="0.4">
      <c r="A27" s="2259"/>
      <c r="B27" s="488"/>
      <c r="C27" s="2192"/>
      <c r="D27" s="2192"/>
      <c r="E27" s="2192"/>
      <c r="F27" s="2192"/>
      <c r="G27" s="2192"/>
      <c r="H27" s="2192"/>
      <c r="I27" s="508"/>
      <c r="J27" s="2397"/>
      <c r="K27" s="2398"/>
      <c r="L27" s="2398"/>
      <c r="M27" s="2398"/>
      <c r="N27" s="2399"/>
    </row>
    <row r="28" spans="1:23" x14ac:dyDescent="0.4">
      <c r="A28" s="499"/>
      <c r="B28" s="487"/>
      <c r="C28" s="2192" t="s">
        <v>1970</v>
      </c>
      <c r="D28" s="2192"/>
      <c r="E28" s="2192"/>
      <c r="F28" s="2192"/>
      <c r="G28" s="2192"/>
      <c r="H28" s="2192"/>
      <c r="I28" s="508"/>
      <c r="J28" s="2397"/>
      <c r="K28" s="2398"/>
      <c r="L28" s="2398"/>
      <c r="M28" s="2398"/>
      <c r="N28" s="2399"/>
    </row>
    <row r="29" spans="1:23" ht="15.75" hidden="1" customHeight="1" x14ac:dyDescent="0.4">
      <c r="A29" s="499"/>
      <c r="B29" s="487"/>
      <c r="C29" s="2361"/>
      <c r="D29" s="2361"/>
      <c r="E29" s="2361"/>
      <c r="F29" s="2361"/>
      <c r="G29" s="2361"/>
      <c r="H29" s="742"/>
      <c r="I29" s="509"/>
      <c r="J29" s="2397"/>
      <c r="K29" s="2398"/>
      <c r="L29" s="2398"/>
      <c r="M29" s="2398"/>
      <c r="N29" s="2399"/>
    </row>
    <row r="30" spans="1:23" ht="22.5" customHeight="1" x14ac:dyDescent="0.4">
      <c r="A30" s="499"/>
      <c r="B30" s="487"/>
      <c r="C30" s="2393" t="s">
        <v>1971</v>
      </c>
      <c r="D30" s="2393"/>
      <c r="E30" s="2393"/>
      <c r="F30" s="2393"/>
      <c r="G30" s="2393"/>
      <c r="H30" s="742"/>
      <c r="I30" s="509"/>
      <c r="J30" s="2397"/>
      <c r="K30" s="2398"/>
      <c r="L30" s="2398"/>
      <c r="M30" s="2398"/>
      <c r="N30" s="2399"/>
    </row>
    <row r="31" spans="1:23" s="492" customFormat="1" ht="15.75" customHeight="1" x14ac:dyDescent="0.4">
      <c r="A31" s="499"/>
      <c r="B31" s="487"/>
      <c r="C31" s="2409" t="s">
        <v>112</v>
      </c>
      <c r="D31" s="2409" t="s">
        <v>45</v>
      </c>
      <c r="E31" s="2410" t="str">
        <f>Input!$M$24</f>
        <v>31 Desember 2019</v>
      </c>
      <c r="F31" s="2411"/>
      <c r="G31" s="2412"/>
      <c r="H31" s="742"/>
      <c r="I31" s="509"/>
      <c r="J31" s="2397"/>
      <c r="K31" s="2398"/>
      <c r="L31" s="2398"/>
      <c r="M31" s="2398"/>
      <c r="N31" s="2399"/>
      <c r="O31" s="518"/>
      <c r="P31" s="749"/>
      <c r="Q31" s="749"/>
      <c r="R31" s="749"/>
      <c r="S31" s="749"/>
      <c r="T31" s="749"/>
      <c r="U31" s="749"/>
      <c r="V31" s="749"/>
      <c r="W31" s="749"/>
    </row>
    <row r="32" spans="1:23" ht="23.25" customHeight="1" x14ac:dyDescent="0.45">
      <c r="A32" s="499"/>
      <c r="B32" s="487"/>
      <c r="C32" s="2409"/>
      <c r="D32" s="2409"/>
      <c r="E32" s="842" t="s">
        <v>59</v>
      </c>
      <c r="F32" s="843" t="s">
        <v>46</v>
      </c>
      <c r="G32" s="842" t="s">
        <v>1838</v>
      </c>
      <c r="J32" s="2400"/>
      <c r="K32" s="2401"/>
      <c r="L32" s="2401"/>
      <c r="M32" s="2401"/>
      <c r="N32" s="2402"/>
    </row>
    <row r="33" spans="1:25" ht="29.25" customHeight="1" x14ac:dyDescent="0.45">
      <c r="A33" s="499"/>
      <c r="B33" s="487"/>
      <c r="C33" s="832">
        <v>1</v>
      </c>
      <c r="D33" s="833" t="str">
        <f>Input!AF30</f>
        <v>Pend. Penjualan dan Pendapatan Pengelolaan BMN (4231)</v>
      </c>
      <c r="E33" s="1390">
        <v>0</v>
      </c>
      <c r="F33" s="1391">
        <f>Input!K30</f>
        <v>0</v>
      </c>
      <c r="G33" s="834">
        <f>IF(ISERROR(F33/E33),0,(F33/E33))</f>
        <v>0</v>
      </c>
    </row>
    <row r="34" spans="1:25" ht="17.25" customHeight="1" x14ac:dyDescent="0.45">
      <c r="A34" s="499"/>
      <c r="B34" s="487"/>
      <c r="C34" s="832">
        <v>2</v>
      </c>
      <c r="D34" s="833" t="str">
        <f>Input!AF31</f>
        <v>Pend. Jasa (4232)</v>
      </c>
      <c r="E34" s="1390">
        <v>0</v>
      </c>
      <c r="F34" s="1391">
        <f>Input!K31</f>
        <v>0</v>
      </c>
      <c r="G34" s="834">
        <f t="shared" ref="G34:G39" si="1">IF(ISERROR(F34/E34),0,(F34/E34))</f>
        <v>0</v>
      </c>
    </row>
    <row r="35" spans="1:25" ht="15.75" customHeight="1" x14ac:dyDescent="0.45">
      <c r="A35" s="499"/>
      <c r="B35" s="487"/>
      <c r="C35" s="835">
        <v>3</v>
      </c>
      <c r="D35" s="833" t="str">
        <f>Input!AF32</f>
        <v>Pend. Kejaksaan dan Peradilan dan Hasil Tipikor (4234)</v>
      </c>
      <c r="E35" s="1392">
        <v>0</v>
      </c>
      <c r="F35" s="1391">
        <f>Input!K32</f>
        <v>0</v>
      </c>
      <c r="G35" s="836">
        <f t="shared" si="1"/>
        <v>0</v>
      </c>
      <c r="I35" s="510"/>
      <c r="J35" s="2403" t="s">
        <v>2041</v>
      </c>
      <c r="K35" s="2404"/>
      <c r="L35" s="2404"/>
      <c r="M35" s="2405"/>
    </row>
    <row r="36" spans="1:25" ht="16.5" customHeight="1" x14ac:dyDescent="0.45">
      <c r="A36" s="499"/>
      <c r="B36" s="487"/>
      <c r="C36" s="832">
        <v>4</v>
      </c>
      <c r="D36" s="833" t="str">
        <f>Input!AF33</f>
        <v>Pend. Pendidikan (4235)</v>
      </c>
      <c r="E36" s="1390">
        <v>0</v>
      </c>
      <c r="F36" s="1391">
        <f>Input!K33</f>
        <v>0</v>
      </c>
      <c r="G36" s="834">
        <f t="shared" si="1"/>
        <v>0</v>
      </c>
      <c r="J36" s="2406"/>
      <c r="K36" s="2407"/>
      <c r="L36" s="2407"/>
      <c r="M36" s="2408"/>
    </row>
    <row r="37" spans="1:25" ht="27" customHeight="1" x14ac:dyDescent="0.45">
      <c r="A37" s="499"/>
      <c r="B37" s="487"/>
      <c r="C37" s="835">
        <v>5</v>
      </c>
      <c r="D37" s="833" t="str">
        <f>Input!AF34</f>
        <v>Pend. Gratifikasi dan Uang Sitaan Hasil Korupsi (4236)</v>
      </c>
      <c r="E37" s="1392">
        <v>0</v>
      </c>
      <c r="F37" s="1391">
        <f>Input!K34</f>
        <v>0</v>
      </c>
      <c r="G37" s="836">
        <f t="shared" si="1"/>
        <v>0</v>
      </c>
    </row>
    <row r="38" spans="1:25" ht="15.75" customHeight="1" x14ac:dyDescent="0.45">
      <c r="A38" s="499"/>
      <c r="B38" s="487"/>
      <c r="C38" s="832">
        <v>6</v>
      </c>
      <c r="D38" s="833" t="str">
        <f>Input!AF35</f>
        <v xml:space="preserve">Pend. Iuran dan Denda (4237)  </v>
      </c>
      <c r="E38" s="1390">
        <v>0</v>
      </c>
      <c r="F38" s="1391">
        <f>Input!K35</f>
        <v>0</v>
      </c>
      <c r="G38" s="834">
        <f t="shared" si="1"/>
        <v>0</v>
      </c>
    </row>
    <row r="39" spans="1:25" x14ac:dyDescent="0.45">
      <c r="A39" s="499"/>
      <c r="B39" s="487"/>
      <c r="C39" s="832">
        <v>7</v>
      </c>
      <c r="D39" s="833" t="str">
        <f>Input!AF36</f>
        <v>Pend. Lain-lain (4259)</v>
      </c>
      <c r="E39" s="1390">
        <v>0</v>
      </c>
      <c r="F39" s="1391">
        <v>1500000</v>
      </c>
      <c r="G39" s="834">
        <f t="shared" si="1"/>
        <v>0</v>
      </c>
    </row>
    <row r="40" spans="1:25" s="492" customFormat="1" ht="25" x14ac:dyDescent="0.45">
      <c r="A40" s="499"/>
      <c r="B40" s="487"/>
      <c r="C40" s="835">
        <v>8</v>
      </c>
      <c r="D40" s="1488" t="s">
        <v>2363</v>
      </c>
      <c r="E40" s="1390"/>
      <c r="F40" s="1391">
        <v>1799999</v>
      </c>
      <c r="G40" s="834"/>
      <c r="I40" s="505"/>
      <c r="J40" s="518"/>
      <c r="K40" s="518"/>
      <c r="L40" s="518"/>
      <c r="M40" s="518"/>
      <c r="N40" s="518"/>
      <c r="O40" s="518"/>
      <c r="P40" s="1482"/>
      <c r="Q40" s="1482"/>
      <c r="R40" s="1482"/>
      <c r="S40" s="1482"/>
      <c r="T40" s="1482"/>
      <c r="U40" s="1482"/>
      <c r="V40" s="1482"/>
      <c r="W40" s="1482"/>
    </row>
    <row r="41" spans="1:25" ht="20.25" customHeight="1" x14ac:dyDescent="0.45">
      <c r="A41" s="499"/>
      <c r="B41" s="487"/>
      <c r="C41" s="2355" t="s">
        <v>114</v>
      </c>
      <c r="D41" s="2356"/>
      <c r="E41" s="1385">
        <f>SUM(E33:E39)</f>
        <v>0</v>
      </c>
      <c r="F41" s="1385">
        <f>SUM(F33:F40)</f>
        <v>3299999</v>
      </c>
      <c r="G41" s="838">
        <f>IF(ISERROR(F41/E41),0,(F41/E41))</f>
        <v>0</v>
      </c>
      <c r="J41" s="1003" t="s">
        <v>1123</v>
      </c>
      <c r="K41" s="1004" t="s">
        <v>8</v>
      </c>
      <c r="L41" s="2383" t="s">
        <v>2038</v>
      </c>
      <c r="M41" s="2384"/>
      <c r="N41" s="2384"/>
      <c r="O41" s="2384"/>
      <c r="P41" s="2384"/>
      <c r="Q41" s="2384"/>
      <c r="R41" s="2384"/>
      <c r="S41" s="2384"/>
      <c r="T41" s="2384"/>
      <c r="U41" s="2384"/>
      <c r="V41" s="2385"/>
    </row>
    <row r="42" spans="1:25" ht="21" customHeight="1" x14ac:dyDescent="0.4">
      <c r="A42" s="1127"/>
      <c r="B42" s="1128"/>
      <c r="C42" s="2233" t="str">
        <f>"Realisasi Pendapatan "&amp;Input!$M$24&amp;" dibandingkan dengan "&amp;Input!$M$25&amp;" "&amp;IF(E57=F57,$L$41,IF(E57&gt;F57,"mengalami kenaikan "&amp;TEXT($G$57,"0,00%")&amp;" persen ",IF(E57&lt;F57," mengalami penurunan "&amp;TEXT(-$G$57,"0,00%")&amp;" persen ")))&amp;IF(E57=F57,"",IF(E57&gt;F57,$L$43,IF(E57&lt;F57,$L$43)))</f>
        <v>Realisasi Pendapatan 31 Desember 2019 dibandingkan dengan 31 Desember 2018 mengalami kenaikan 266,67% persen terdapat dua jenis pendapatan di tahun 2019 yaitu pendapatan lain-lain dari  hasil temuan tahun lalu dan pendapatan dari pemindahtanganan BMN berupa lelang sepeda motor merk Honda</v>
      </c>
      <c r="D42" s="2233"/>
      <c r="E42" s="2233"/>
      <c r="F42" s="2233"/>
      <c r="G42" s="2233"/>
      <c r="H42" s="2233"/>
      <c r="I42" s="511"/>
      <c r="J42" s="2392" t="s">
        <v>2034</v>
      </c>
      <c r="K42" s="2392"/>
      <c r="L42" s="2392"/>
      <c r="M42" s="2392"/>
      <c r="N42" s="2392"/>
      <c r="O42" s="2392"/>
      <c r="P42" s="2392"/>
      <c r="Q42" s="2392"/>
      <c r="R42" s="2392"/>
      <c r="S42" s="2392"/>
      <c r="T42" s="2392"/>
      <c r="U42" s="2392"/>
      <c r="V42" s="2392"/>
      <c r="Y42" s="546" t="str">
        <f>"Realisasi Pendapatan "&amp;Input!$M$24&amp;"  "&amp;IF(E57=F57,"tidak mengalami perubahan / tetap",IF(E57&gt;F57,"mengalami kenaikan "&amp;TEXT($G$57,"0,00%")&amp;" persen dibandingkan  "&amp;Input!$M$25&amp;". "&amp;IF(E57=F57," Pendapatan PNBP tidak ada perubahan / nihil ",IF(E57&gt;F57,L43,IF(E57&lt;F57,L43)))&amp;"."))</f>
        <v>Realisasi Pendapatan 31 Desember 2019  mengalami kenaikan 266,67% persen dibandingkan  31 Desember 2018. terdapat dua jenis pendapatan di tahun 2019 yaitu pendapatan lain-lain dari  hasil temuan tahun lalu dan pendapatan dari pemindahtanganan BMN berupa lelang sepeda motor merk Honda.</v>
      </c>
    </row>
    <row r="43" spans="1:25" ht="15.75" customHeight="1" x14ac:dyDescent="0.4">
      <c r="A43" s="1127"/>
      <c r="B43" s="1128"/>
      <c r="C43" s="2233"/>
      <c r="D43" s="2233"/>
      <c r="E43" s="2233"/>
      <c r="F43" s="2233"/>
      <c r="G43" s="2233"/>
      <c r="H43" s="2233"/>
      <c r="I43" s="511"/>
      <c r="J43" s="2320" t="s">
        <v>1131</v>
      </c>
      <c r="K43" s="2415" t="s">
        <v>8</v>
      </c>
      <c r="L43" s="2418" t="s">
        <v>2397</v>
      </c>
      <c r="M43" s="2419"/>
      <c r="N43" s="2419"/>
      <c r="O43" s="2419"/>
      <c r="P43" s="2419"/>
      <c r="Q43" s="2419"/>
      <c r="R43" s="2419"/>
      <c r="S43" s="2419"/>
      <c r="T43" s="2419"/>
      <c r="U43" s="2419"/>
      <c r="V43" s="2420"/>
    </row>
    <row r="44" spans="1:25" ht="29.25" customHeight="1" x14ac:dyDescent="0.4">
      <c r="A44" s="1127"/>
      <c r="B44" s="1128"/>
      <c r="C44" s="2233"/>
      <c r="D44" s="2233"/>
      <c r="E44" s="2233"/>
      <c r="F44" s="2233"/>
      <c r="G44" s="2233"/>
      <c r="H44" s="2233"/>
      <c r="I44" s="511"/>
      <c r="J44" s="2386"/>
      <c r="K44" s="2416"/>
      <c r="L44" s="2421"/>
      <c r="M44" s="2422"/>
      <c r="N44" s="2422"/>
      <c r="O44" s="2422"/>
      <c r="P44" s="2422"/>
      <c r="Q44" s="2422"/>
      <c r="R44" s="2422"/>
      <c r="S44" s="2422"/>
      <c r="T44" s="2422"/>
      <c r="U44" s="2422"/>
      <c r="V44" s="2423"/>
    </row>
    <row r="45" spans="1:25" ht="12" customHeight="1" x14ac:dyDescent="0.45">
      <c r="A45" s="498"/>
      <c r="B45" s="487"/>
      <c r="C45" s="2352"/>
      <c r="D45" s="2352"/>
      <c r="E45" s="2352"/>
      <c r="F45" s="2352"/>
      <c r="G45" s="2352"/>
      <c r="H45" s="2352"/>
      <c r="J45" s="2387"/>
      <c r="K45" s="2416"/>
      <c r="L45" s="2421"/>
      <c r="M45" s="2422"/>
      <c r="N45" s="2422"/>
      <c r="O45" s="2422"/>
      <c r="P45" s="2422"/>
      <c r="Q45" s="2422"/>
      <c r="R45" s="2422"/>
      <c r="S45" s="2422"/>
      <c r="T45" s="2422"/>
      <c r="U45" s="2422"/>
      <c r="V45" s="2423"/>
    </row>
    <row r="46" spans="1:25" ht="16.5" customHeight="1" x14ac:dyDescent="0.45">
      <c r="A46" s="498"/>
      <c r="B46" s="487"/>
      <c r="C46" s="2360" t="str">
        <f>"Perbandingan Realisasi Pendapatan "&amp;Input!$M$24&amp;" dan "&amp;Input!$M$25</f>
        <v>Perbandingan Realisasi Pendapatan 31 Desember 2019 dan 31 Desember 2018</v>
      </c>
      <c r="D46" s="2360"/>
      <c r="E46" s="2360"/>
      <c r="F46" s="2360"/>
      <c r="G46" s="2360"/>
      <c r="H46" s="495"/>
      <c r="J46" s="2387"/>
      <c r="K46" s="2416"/>
      <c r="L46" s="2421"/>
      <c r="M46" s="2422"/>
      <c r="N46" s="2422"/>
      <c r="O46" s="2422"/>
      <c r="P46" s="2422"/>
      <c r="Q46" s="2422"/>
      <c r="R46" s="2422"/>
      <c r="S46" s="2422"/>
      <c r="T46" s="2422"/>
      <c r="U46" s="2422"/>
      <c r="V46" s="2423"/>
    </row>
    <row r="47" spans="1:25" ht="18" customHeight="1" x14ac:dyDescent="0.45">
      <c r="A47" s="498"/>
      <c r="B47" s="487"/>
      <c r="C47" s="2353" t="s">
        <v>143</v>
      </c>
      <c r="D47" s="2353" t="s">
        <v>264</v>
      </c>
      <c r="E47" s="840" t="s">
        <v>266</v>
      </c>
      <c r="F47" s="840" t="s">
        <v>266</v>
      </c>
      <c r="G47" s="2413" t="s">
        <v>1785</v>
      </c>
      <c r="H47" s="489"/>
      <c r="J47" s="2387"/>
      <c r="K47" s="2416"/>
      <c r="L47" s="2421"/>
      <c r="M47" s="2422"/>
      <c r="N47" s="2422"/>
      <c r="O47" s="2422"/>
      <c r="P47" s="2422"/>
      <c r="Q47" s="2422"/>
      <c r="R47" s="2422"/>
      <c r="S47" s="2422"/>
      <c r="T47" s="2422"/>
      <c r="U47" s="2422"/>
      <c r="V47" s="2423"/>
    </row>
    <row r="48" spans="1:25" ht="28.5" customHeight="1" x14ac:dyDescent="0.45">
      <c r="A48" s="498"/>
      <c r="B48" s="487"/>
      <c r="C48" s="2353"/>
      <c r="D48" s="2353"/>
      <c r="E48" s="841" t="str">
        <f>Input!$M$24</f>
        <v>31 Desember 2019</v>
      </c>
      <c r="F48" s="841" t="str">
        <f>Input!$M$25</f>
        <v>31 Desember 2018</v>
      </c>
      <c r="G48" s="2414"/>
      <c r="H48" s="490"/>
      <c r="J48" s="2387"/>
      <c r="K48" s="2416"/>
      <c r="L48" s="2421"/>
      <c r="M48" s="2422"/>
      <c r="N48" s="2422"/>
      <c r="O48" s="2422"/>
      <c r="P48" s="2422"/>
      <c r="Q48" s="2422"/>
      <c r="R48" s="2422"/>
      <c r="S48" s="2422"/>
      <c r="T48" s="2422"/>
      <c r="U48" s="2422"/>
      <c r="V48" s="2423"/>
    </row>
    <row r="49" spans="1:24" ht="28.5" customHeight="1" x14ac:dyDescent="0.45">
      <c r="A49" s="498"/>
      <c r="B49" s="487"/>
      <c r="C49" s="832">
        <v>1</v>
      </c>
      <c r="D49" s="833" t="str">
        <f>Input!AF30</f>
        <v>Pend. Penjualan dan Pendapatan Pengelolaan BMN (4231)</v>
      </c>
      <c r="E49" s="1393">
        <f>Input!K30</f>
        <v>0</v>
      </c>
      <c r="F49" s="1394">
        <f>Input!M30</f>
        <v>0</v>
      </c>
      <c r="G49" s="834">
        <f t="shared" ref="G49:G55" si="2">IF(ISERROR((E49-F49)/F49),0,((E49-F49)/F49))</f>
        <v>0</v>
      </c>
      <c r="H49" s="491"/>
      <c r="J49" s="2387"/>
      <c r="K49" s="2416"/>
      <c r="L49" s="2421"/>
      <c r="M49" s="2422"/>
      <c r="N49" s="2422"/>
      <c r="O49" s="2422"/>
      <c r="P49" s="2422"/>
      <c r="Q49" s="2422"/>
      <c r="R49" s="2422"/>
      <c r="S49" s="2422"/>
      <c r="T49" s="2422"/>
      <c r="U49" s="2422"/>
      <c r="V49" s="2423"/>
      <c r="X49" s="431">
        <f>Input!M30</f>
        <v>0</v>
      </c>
    </row>
    <row r="50" spans="1:24" x14ac:dyDescent="0.45">
      <c r="A50" s="498"/>
      <c r="B50" s="487"/>
      <c r="C50" s="832">
        <v>2</v>
      </c>
      <c r="D50" s="833" t="str">
        <f>Input!AF31</f>
        <v>Pend. Jasa (4232)</v>
      </c>
      <c r="E50" s="1393">
        <f>Input!K31</f>
        <v>0</v>
      </c>
      <c r="F50" s="1394">
        <f>Input!M31</f>
        <v>0</v>
      </c>
      <c r="G50" s="834">
        <f t="shared" si="2"/>
        <v>0</v>
      </c>
      <c r="H50" s="491"/>
      <c r="J50" s="2387"/>
      <c r="K50" s="2416"/>
      <c r="L50" s="2421"/>
      <c r="M50" s="2422"/>
      <c r="N50" s="2422"/>
      <c r="O50" s="2422"/>
      <c r="P50" s="2422"/>
      <c r="Q50" s="2422"/>
      <c r="R50" s="2422"/>
      <c r="S50" s="2422"/>
      <c r="T50" s="2422"/>
      <c r="U50" s="2422"/>
      <c r="V50" s="2423"/>
    </row>
    <row r="51" spans="1:24" ht="30" customHeight="1" x14ac:dyDescent="0.45">
      <c r="A51" s="498"/>
      <c r="B51" s="487"/>
      <c r="C51" s="835">
        <v>3</v>
      </c>
      <c r="D51" s="833" t="str">
        <f>Input!AF32</f>
        <v>Pend. Kejaksaan dan Peradilan dan Hasil Tipikor (4234)</v>
      </c>
      <c r="E51" s="1393">
        <f>Input!K32</f>
        <v>0</v>
      </c>
      <c r="F51" s="1394">
        <f>Input!M32</f>
        <v>0</v>
      </c>
      <c r="G51" s="834">
        <f t="shared" si="2"/>
        <v>0</v>
      </c>
      <c r="H51" s="491"/>
      <c r="J51" s="2387"/>
      <c r="K51" s="2416"/>
      <c r="L51" s="2421"/>
      <c r="M51" s="2422"/>
      <c r="N51" s="2422"/>
      <c r="O51" s="2422"/>
      <c r="P51" s="2422"/>
      <c r="Q51" s="2422"/>
      <c r="R51" s="2422"/>
      <c r="S51" s="2422"/>
      <c r="T51" s="2422"/>
      <c r="U51" s="2422"/>
      <c r="V51" s="2423"/>
    </row>
    <row r="52" spans="1:24" ht="24.75" customHeight="1" x14ac:dyDescent="0.45">
      <c r="A52" s="498"/>
      <c r="B52" s="487"/>
      <c r="C52" s="832">
        <v>4</v>
      </c>
      <c r="D52" s="833" t="str">
        <f>Input!AF33</f>
        <v>Pend. Pendidikan (4235)</v>
      </c>
      <c r="E52" s="1393">
        <f>Input!K33</f>
        <v>0</v>
      </c>
      <c r="F52" s="1394">
        <f>Input!M33</f>
        <v>0</v>
      </c>
      <c r="G52" s="834">
        <f t="shared" si="2"/>
        <v>0</v>
      </c>
      <c r="H52" s="491"/>
      <c r="J52" s="2387"/>
      <c r="K52" s="2416"/>
      <c r="L52" s="2421"/>
      <c r="M52" s="2422"/>
      <c r="N52" s="2422"/>
      <c r="O52" s="2422"/>
      <c r="P52" s="2422"/>
      <c r="Q52" s="2422"/>
      <c r="R52" s="2422"/>
      <c r="S52" s="2422"/>
      <c r="T52" s="2422"/>
      <c r="U52" s="2422"/>
      <c r="V52" s="2423"/>
    </row>
    <row r="53" spans="1:24" ht="28.5" customHeight="1" x14ac:dyDescent="0.45">
      <c r="A53" s="498"/>
      <c r="B53" s="487"/>
      <c r="C53" s="835">
        <v>5</v>
      </c>
      <c r="D53" s="833" t="str">
        <f>Input!AF34</f>
        <v>Pend. Gratifikasi dan Uang Sitaan Hasil Korupsi (4236)</v>
      </c>
      <c r="E53" s="1393">
        <f>Input!K34</f>
        <v>0</v>
      </c>
      <c r="F53" s="1394">
        <f>Input!M34</f>
        <v>0</v>
      </c>
      <c r="G53" s="834">
        <f t="shared" si="2"/>
        <v>0</v>
      </c>
      <c r="H53" s="491"/>
      <c r="J53" s="2388"/>
      <c r="K53" s="2417"/>
      <c r="L53" s="2424"/>
      <c r="M53" s="2425"/>
      <c r="N53" s="2425"/>
      <c r="O53" s="2425"/>
      <c r="P53" s="2425"/>
      <c r="Q53" s="2425"/>
      <c r="R53" s="2425"/>
      <c r="S53" s="2425"/>
      <c r="T53" s="2425"/>
      <c r="U53" s="2425"/>
      <c r="V53" s="2426"/>
    </row>
    <row r="54" spans="1:24" ht="19.5" customHeight="1" x14ac:dyDescent="0.45">
      <c r="A54" s="498"/>
      <c r="B54" s="487"/>
      <c r="C54" s="832">
        <v>6</v>
      </c>
      <c r="D54" s="833" t="str">
        <f>Input!AF35</f>
        <v xml:space="preserve">Pend. Iuran dan Denda (4237)  </v>
      </c>
      <c r="E54" s="1393">
        <f>Input!K35</f>
        <v>0</v>
      </c>
      <c r="F54" s="1394">
        <f>Input!M35</f>
        <v>0</v>
      </c>
      <c r="G54" s="834">
        <f t="shared" si="2"/>
        <v>0</v>
      </c>
      <c r="H54" s="491"/>
      <c r="J54" s="524"/>
      <c r="K54" s="524"/>
      <c r="L54" s="525"/>
      <c r="M54" s="525"/>
      <c r="N54" s="525"/>
      <c r="O54" s="525"/>
      <c r="P54" s="526"/>
      <c r="Q54" s="526"/>
      <c r="R54" s="526"/>
      <c r="S54" s="526"/>
      <c r="T54" s="526"/>
      <c r="U54" s="526"/>
      <c r="V54" s="526"/>
    </row>
    <row r="55" spans="1:24" ht="19.5" customHeight="1" x14ac:dyDescent="0.45">
      <c r="A55" s="498"/>
      <c r="B55" s="487"/>
      <c r="C55" s="832">
        <v>7</v>
      </c>
      <c r="D55" s="833" t="str">
        <f>Input!AF36</f>
        <v>Pend. Lain-lain (4259)</v>
      </c>
      <c r="E55" s="1393">
        <v>1500000</v>
      </c>
      <c r="F55" s="1394">
        <v>900000</v>
      </c>
      <c r="G55" s="834">
        <f t="shared" si="2"/>
        <v>0.66666666666666663</v>
      </c>
      <c r="H55" s="491"/>
      <c r="L55" s="2363"/>
      <c r="M55" s="2363"/>
      <c r="N55" s="2363"/>
      <c r="O55" s="2363"/>
      <c r="P55" s="2363"/>
      <c r="Q55" s="2363"/>
      <c r="R55" s="2363"/>
      <c r="S55" s="2363"/>
      <c r="T55" s="2363"/>
      <c r="U55" s="2363"/>
      <c r="V55" s="2363"/>
    </row>
    <row r="56" spans="1:24" s="492" customFormat="1" ht="33.5" customHeight="1" x14ac:dyDescent="0.45">
      <c r="A56" s="498"/>
      <c r="B56" s="487"/>
      <c r="C56" s="835">
        <v>8</v>
      </c>
      <c r="D56" s="1488" t="s">
        <v>2363</v>
      </c>
      <c r="E56" s="1393">
        <v>1799999</v>
      </c>
      <c r="F56" s="1394"/>
      <c r="G56" s="834"/>
      <c r="H56" s="491"/>
      <c r="I56" s="505"/>
      <c r="J56" s="518"/>
      <c r="K56" s="518"/>
      <c r="L56" s="1482"/>
      <c r="M56" s="1482"/>
      <c r="N56" s="1482"/>
      <c r="O56" s="1482"/>
      <c r="P56" s="1482"/>
      <c r="Q56" s="1482"/>
      <c r="R56" s="1482"/>
      <c r="S56" s="1482"/>
      <c r="T56" s="1482"/>
      <c r="U56" s="1482"/>
      <c r="V56" s="1482"/>
      <c r="W56" s="1482"/>
    </row>
    <row r="57" spans="1:24" x14ac:dyDescent="0.45">
      <c r="A57" s="498"/>
      <c r="B57" s="487"/>
      <c r="C57" s="2272" t="s">
        <v>115</v>
      </c>
      <c r="D57" s="2273"/>
      <c r="E57" s="1389">
        <f>SUM(E49:E56)</f>
        <v>3299999</v>
      </c>
      <c r="F57" s="1389">
        <f>SUM(F49:F55)</f>
        <v>900000</v>
      </c>
      <c r="G57" s="837">
        <f>IF(ISERROR((E57-F57)/F57),0,((E57-F57)/F57))</f>
        <v>2.6666655555555554</v>
      </c>
      <c r="H57" s="493"/>
      <c r="L57" s="2363"/>
      <c r="M57" s="2363"/>
      <c r="N57" s="2363"/>
      <c r="O57" s="2363"/>
      <c r="P57" s="2363"/>
      <c r="Q57" s="2363"/>
      <c r="R57" s="2363"/>
      <c r="S57" s="2363"/>
      <c r="T57" s="2363"/>
      <c r="U57" s="2363"/>
      <c r="V57" s="2363"/>
    </row>
    <row r="58" spans="1:24" ht="16.5" customHeight="1" x14ac:dyDescent="0.45">
      <c r="A58" s="500"/>
      <c r="C58" s="726"/>
      <c r="D58" s="726"/>
      <c r="E58" s="726"/>
      <c r="F58" s="726"/>
      <c r="G58" s="726"/>
      <c r="L58" s="2363"/>
      <c r="M58" s="2363"/>
      <c r="N58" s="2363"/>
      <c r="O58" s="2363"/>
      <c r="P58" s="2363"/>
      <c r="Q58" s="2363"/>
      <c r="R58" s="2363"/>
      <c r="S58" s="2363"/>
      <c r="T58" s="2363"/>
      <c r="U58" s="2363"/>
      <c r="V58" s="2363"/>
    </row>
    <row r="59" spans="1:24" x14ac:dyDescent="0.45">
      <c r="A59" s="2259" t="str">
        <f>"Realisasi Belanja Negara  "&amp;TEXT($F$73,"Rp#.##0")</f>
        <v>Realisasi Belanja Negara  Rp11.431.644.723</v>
      </c>
      <c r="B59" s="849"/>
      <c r="C59" s="741" t="s">
        <v>1851</v>
      </c>
      <c r="D59" s="753"/>
      <c r="E59" s="753"/>
      <c r="F59" s="753"/>
      <c r="G59" s="753"/>
      <c r="H59" s="753"/>
    </row>
    <row r="60" spans="1:24" x14ac:dyDescent="0.45">
      <c r="A60" s="2259"/>
      <c r="B60" s="849"/>
      <c r="C60" s="2192" t="str">
        <f>"Realisasi Belanja Instansi pada  "&amp;Input!$M$24&amp;" adalah sebesar "&amp;TEXT($F$73,"Rp#.##0")&amp;" atau mencapai "&amp;TEXT($G$73,"00,00%")&amp;" persen dari anggaran belanja sebesar "&amp;TEXT($E$73,"Rp#.##0")&amp;". Rincian anggaran dan realisasi belanja "&amp;Input!$M$24&amp;" adalah sebagai berikut : "</f>
        <v xml:space="preserve">Realisasi Belanja Instansi pada  31 Desember 2019 adalah sebesar Rp11.431.644.723 atau mencapai 95,49% persen dari anggaran belanja sebesar Rp11.971.966.000. Rincian anggaran dan realisasi belanja 31 Desember 2019 adalah sebagai berikut : </v>
      </c>
      <c r="D60" s="2192"/>
      <c r="E60" s="2192"/>
      <c r="F60" s="2192"/>
      <c r="G60" s="2192"/>
      <c r="H60" s="2192"/>
    </row>
    <row r="61" spans="1:24" x14ac:dyDescent="0.4">
      <c r="A61" s="2259"/>
      <c r="B61" s="849"/>
      <c r="C61" s="2192"/>
      <c r="D61" s="2192"/>
      <c r="E61" s="2192"/>
      <c r="F61" s="2192"/>
      <c r="G61" s="2192"/>
      <c r="H61" s="2192"/>
      <c r="I61" s="511"/>
      <c r="J61" s="523"/>
    </row>
    <row r="62" spans="1:24" ht="10.5" customHeight="1" x14ac:dyDescent="0.4">
      <c r="A62" s="2259"/>
      <c r="B62" s="849"/>
      <c r="C62" s="2192"/>
      <c r="D62" s="2192"/>
      <c r="E62" s="2192"/>
      <c r="F62" s="2192"/>
      <c r="G62" s="2192"/>
      <c r="H62" s="2192"/>
      <c r="I62" s="511"/>
      <c r="J62" s="523"/>
    </row>
    <row r="63" spans="1:24" ht="6.75" customHeight="1" x14ac:dyDescent="0.45">
      <c r="A63" s="850"/>
      <c r="B63" s="851"/>
      <c r="C63" s="852"/>
      <c r="D63" s="852"/>
      <c r="E63" s="852"/>
      <c r="F63" s="852"/>
      <c r="G63" s="852"/>
      <c r="H63" s="852"/>
    </row>
    <row r="64" spans="1:24" x14ac:dyDescent="0.45">
      <c r="A64" s="850"/>
      <c r="B64" s="851"/>
      <c r="C64" s="2354" t="str">
        <f>"Rincian Anggaran dan Realisasi Belanja "&amp;Input!$M$24</f>
        <v>Rincian Anggaran dan Realisasi Belanja 31 Desember 2019</v>
      </c>
      <c r="D64" s="2354"/>
      <c r="E64" s="2354"/>
      <c r="F64" s="2354"/>
      <c r="G64" s="2354"/>
      <c r="H64" s="853"/>
    </row>
    <row r="65" spans="1:23" ht="22.5" customHeight="1" x14ac:dyDescent="0.45">
      <c r="A65" s="850"/>
      <c r="B65" s="851"/>
      <c r="C65" s="2367" t="s">
        <v>112</v>
      </c>
      <c r="D65" s="2367" t="s">
        <v>45</v>
      </c>
      <c r="E65" s="2357" t="str">
        <f>Input!$M$24</f>
        <v>31 Desember 2019</v>
      </c>
      <c r="F65" s="2358"/>
      <c r="G65" s="2359"/>
      <c r="H65" s="726"/>
    </row>
    <row r="66" spans="1:23" ht="25" x14ac:dyDescent="0.45">
      <c r="A66" s="850"/>
      <c r="B66" s="851"/>
      <c r="C66" s="2368"/>
      <c r="D66" s="2368"/>
      <c r="E66" s="854" t="s">
        <v>59</v>
      </c>
      <c r="F66" s="854" t="s">
        <v>46</v>
      </c>
      <c r="G66" s="1130" t="s">
        <v>1838</v>
      </c>
      <c r="H66" s="726"/>
    </row>
    <row r="67" spans="1:23" x14ac:dyDescent="0.45">
      <c r="A67" s="850"/>
      <c r="B67" s="851"/>
      <c r="C67" s="1229">
        <v>1</v>
      </c>
      <c r="D67" s="1230" t="s">
        <v>64</v>
      </c>
      <c r="E67" s="1383">
        <f>Input!I601</f>
        <v>3443983000</v>
      </c>
      <c r="F67" s="1384">
        <f>Input!K601</f>
        <v>3316366778</v>
      </c>
      <c r="G67" s="1231">
        <f>IF(ISERROR((F67)/E67),0,((F67)/E67))</f>
        <v>0.96294516494419402</v>
      </c>
      <c r="H67" s="726"/>
      <c r="M67" s="527"/>
      <c r="N67" s="527"/>
      <c r="O67" s="527"/>
    </row>
    <row r="68" spans="1:23" x14ac:dyDescent="0.45">
      <c r="A68" s="850"/>
      <c r="B68" s="851"/>
      <c r="C68" s="1229">
        <v>2</v>
      </c>
      <c r="D68" s="1230" t="s">
        <v>66</v>
      </c>
      <c r="E68" s="1383">
        <f>Input!I602</f>
        <v>7044703000</v>
      </c>
      <c r="F68" s="1384">
        <f>Input!K602</f>
        <v>6645148395</v>
      </c>
      <c r="G68" s="1231">
        <f t="shared" ref="G68:G72" si="3">IF(ISERROR((F68)/E68),0,((F68)/E68))</f>
        <v>0.94328297374637371</v>
      </c>
      <c r="H68" s="726"/>
      <c r="M68" s="527"/>
      <c r="N68" s="527"/>
      <c r="O68" s="527"/>
    </row>
    <row r="69" spans="1:23" x14ac:dyDescent="0.45">
      <c r="A69" s="850"/>
      <c r="B69" s="851"/>
      <c r="C69" s="1229">
        <v>3</v>
      </c>
      <c r="D69" s="1230" t="s">
        <v>68</v>
      </c>
      <c r="E69" s="1383">
        <f>Input!I603</f>
        <v>1483280000</v>
      </c>
      <c r="F69" s="1384">
        <f>Input!K603</f>
        <v>1470129550</v>
      </c>
      <c r="G69" s="1231">
        <f t="shared" si="3"/>
        <v>0.99113420931988561</v>
      </c>
      <c r="H69" s="726"/>
    </row>
    <row r="70" spans="1:23" x14ac:dyDescent="0.45">
      <c r="A70" s="850"/>
      <c r="B70" s="851"/>
      <c r="C70" s="1232">
        <v>4</v>
      </c>
      <c r="D70" s="1230" t="s">
        <v>1671</v>
      </c>
      <c r="E70" s="1383">
        <f>Input!I607</f>
        <v>0</v>
      </c>
      <c r="F70" s="1384">
        <f>Input!K607</f>
        <v>0</v>
      </c>
      <c r="G70" s="1231">
        <f>IF(ISERROR((F70)/E70),0,((F70)/E70))</f>
        <v>0</v>
      </c>
      <c r="H70" s="726"/>
    </row>
    <row r="71" spans="1:23" x14ac:dyDescent="0.45">
      <c r="A71" s="850"/>
      <c r="B71" s="851"/>
      <c r="C71" s="1232"/>
      <c r="D71" s="855" t="s">
        <v>1839</v>
      </c>
      <c r="E71" s="1383">
        <f>SUM(E67:E69)</f>
        <v>11971966000</v>
      </c>
      <c r="F71" s="1384">
        <f>SUM(F67:F69)</f>
        <v>11431644723</v>
      </c>
      <c r="G71" s="1231">
        <f t="shared" si="3"/>
        <v>0.95486779055336446</v>
      </c>
      <c r="H71" s="726"/>
    </row>
    <row r="72" spans="1:23" x14ac:dyDescent="0.45">
      <c r="A72" s="850"/>
      <c r="B72" s="851"/>
      <c r="C72" s="1229"/>
      <c r="D72" s="1230" t="s">
        <v>118</v>
      </c>
      <c r="E72" s="1383">
        <v>0</v>
      </c>
      <c r="F72" s="1384">
        <f>Input!K571-Input!K608</f>
        <v>0</v>
      </c>
      <c r="G72" s="1231">
        <f t="shared" si="3"/>
        <v>0</v>
      </c>
      <c r="H72" s="726"/>
    </row>
    <row r="73" spans="1:23" x14ac:dyDescent="0.45">
      <c r="A73" s="850"/>
      <c r="B73" s="851"/>
      <c r="C73" s="2355" t="s">
        <v>115</v>
      </c>
      <c r="D73" s="2356"/>
      <c r="E73" s="1385">
        <f>E71</f>
        <v>11971966000</v>
      </c>
      <c r="F73" s="1385">
        <f>F71+F72</f>
        <v>11431644723</v>
      </c>
      <c r="G73" s="838">
        <f>IF(ISERROR((F73)/E73),0,((F73)/E73))</f>
        <v>0.95486779055336446</v>
      </c>
      <c r="H73" s="726"/>
    </row>
    <row r="74" spans="1:23" x14ac:dyDescent="0.45">
      <c r="A74" s="850"/>
      <c r="B74" s="851"/>
      <c r="C74" s="856"/>
      <c r="D74" s="857"/>
      <c r="E74" s="858"/>
      <c r="F74" s="858"/>
      <c r="G74" s="859"/>
      <c r="H74" s="726"/>
    </row>
    <row r="75" spans="1:23" s="492" customFormat="1" x14ac:dyDescent="0.45">
      <c r="A75" s="850"/>
      <c r="B75" s="851"/>
      <c r="C75" s="856" t="s">
        <v>117</v>
      </c>
      <c r="D75" s="857"/>
      <c r="E75" s="858"/>
      <c r="F75" s="858"/>
      <c r="G75" s="859"/>
      <c r="H75" s="726"/>
      <c r="I75" s="505"/>
      <c r="J75" s="518"/>
      <c r="K75" s="518"/>
      <c r="L75" s="518"/>
      <c r="M75" s="518"/>
      <c r="N75" s="518"/>
      <c r="O75" s="518"/>
      <c r="P75" s="519"/>
      <c r="Q75" s="519"/>
      <c r="R75" s="519"/>
      <c r="S75" s="519"/>
      <c r="T75" s="519"/>
      <c r="U75" s="519"/>
      <c r="V75" s="519"/>
      <c r="W75" s="519"/>
    </row>
    <row r="76" spans="1:23" s="492" customFormat="1" x14ac:dyDescent="0.45">
      <c r="A76" s="850"/>
      <c r="B76" s="851"/>
      <c r="C76" s="856"/>
      <c r="D76" s="857"/>
      <c r="E76" s="858"/>
      <c r="F76" s="858"/>
      <c r="G76" s="859"/>
      <c r="H76" s="726"/>
      <c r="I76" s="505"/>
      <c r="J76" s="518"/>
      <c r="K76" s="518"/>
      <c r="L76" s="518"/>
      <c r="M76" s="518"/>
      <c r="N76" s="518"/>
      <c r="O76" s="518"/>
      <c r="P76" s="519"/>
      <c r="Q76" s="519"/>
      <c r="R76" s="519"/>
      <c r="S76" s="519"/>
      <c r="T76" s="519"/>
      <c r="U76" s="519"/>
      <c r="V76" s="519"/>
      <c r="W76" s="519"/>
    </row>
    <row r="77" spans="1:23" s="492" customFormat="1" x14ac:dyDescent="0.45">
      <c r="A77" s="850"/>
      <c r="B77" s="851"/>
      <c r="C77" s="856"/>
      <c r="D77" s="857"/>
      <c r="E77" s="858"/>
      <c r="F77" s="858"/>
      <c r="G77" s="859"/>
      <c r="H77" s="726"/>
      <c r="I77" s="505"/>
      <c r="J77" s="518"/>
      <c r="K77" s="518"/>
      <c r="L77" s="518"/>
      <c r="M77" s="518"/>
      <c r="N77" s="518"/>
      <c r="O77" s="518"/>
      <c r="P77" s="519"/>
      <c r="Q77" s="519"/>
      <c r="R77" s="519"/>
      <c r="S77" s="519"/>
      <c r="T77" s="519"/>
      <c r="U77" s="519"/>
      <c r="V77" s="519"/>
      <c r="W77" s="519"/>
    </row>
    <row r="78" spans="1:23" s="492" customFormat="1" x14ac:dyDescent="0.45">
      <c r="A78" s="850"/>
      <c r="B78" s="851"/>
      <c r="C78" s="856"/>
      <c r="D78" s="857"/>
      <c r="E78" s="858"/>
      <c r="F78" s="858"/>
      <c r="G78" s="859"/>
      <c r="H78" s="726"/>
      <c r="I78" s="505"/>
      <c r="J78" s="518"/>
      <c r="K78" s="518"/>
      <c r="L78" s="518"/>
      <c r="M78" s="518"/>
      <c r="N78" s="518"/>
      <c r="O78" s="518"/>
      <c r="P78" s="519"/>
      <c r="Q78" s="519"/>
      <c r="R78" s="519"/>
      <c r="S78" s="519"/>
      <c r="T78" s="519"/>
      <c r="U78" s="519"/>
      <c r="V78" s="519"/>
      <c r="W78" s="519"/>
    </row>
    <row r="79" spans="1:23" s="492" customFormat="1" x14ac:dyDescent="0.45">
      <c r="A79" s="850"/>
      <c r="B79" s="851"/>
      <c r="C79" s="856"/>
      <c r="D79" s="857"/>
      <c r="E79" s="858"/>
      <c r="F79" s="858"/>
      <c r="G79" s="859"/>
      <c r="H79" s="726"/>
      <c r="I79" s="505"/>
      <c r="J79" s="518"/>
      <c r="K79" s="518"/>
      <c r="L79" s="518"/>
      <c r="M79" s="518"/>
      <c r="N79" s="518"/>
      <c r="O79" s="518"/>
      <c r="P79" s="519"/>
      <c r="Q79" s="519"/>
      <c r="R79" s="519"/>
      <c r="S79" s="519"/>
      <c r="T79" s="519"/>
      <c r="U79" s="519"/>
      <c r="V79" s="519"/>
      <c r="W79" s="519"/>
    </row>
    <row r="80" spans="1:23" s="492" customFormat="1" x14ac:dyDescent="0.45">
      <c r="A80" s="850"/>
      <c r="B80" s="851"/>
      <c r="C80" s="856"/>
      <c r="D80" s="857"/>
      <c r="E80" s="858"/>
      <c r="F80" s="858"/>
      <c r="G80" s="859"/>
      <c r="H80" s="726"/>
      <c r="I80" s="505"/>
      <c r="J80" s="518"/>
      <c r="K80" s="518"/>
      <c r="L80" s="518"/>
      <c r="M80" s="518"/>
      <c r="N80" s="518"/>
      <c r="O80" s="518"/>
      <c r="P80" s="519"/>
      <c r="Q80" s="519"/>
      <c r="R80" s="519"/>
      <c r="S80" s="519"/>
      <c r="T80" s="519"/>
      <c r="U80" s="519"/>
      <c r="V80" s="519"/>
      <c r="W80" s="519"/>
    </row>
    <row r="81" spans="1:25" s="492" customFormat="1" x14ac:dyDescent="0.45">
      <c r="A81" s="850"/>
      <c r="B81" s="851"/>
      <c r="C81" s="856"/>
      <c r="D81" s="857"/>
      <c r="E81" s="858"/>
      <c r="F81" s="858"/>
      <c r="G81" s="859"/>
      <c r="H81" s="726"/>
      <c r="I81" s="505"/>
      <c r="J81" s="518"/>
      <c r="K81" s="518"/>
      <c r="L81" s="518"/>
      <c r="M81" s="518"/>
      <c r="N81" s="518"/>
      <c r="O81" s="518"/>
      <c r="P81" s="519"/>
      <c r="Q81" s="519"/>
      <c r="R81" s="519"/>
      <c r="S81" s="519"/>
      <c r="T81" s="519"/>
      <c r="U81" s="519"/>
      <c r="V81" s="519"/>
      <c r="W81" s="519"/>
    </row>
    <row r="82" spans="1:25" s="492" customFormat="1" x14ac:dyDescent="0.45">
      <c r="A82" s="850"/>
      <c r="B82" s="851"/>
      <c r="C82" s="856"/>
      <c r="D82" s="857"/>
      <c r="E82" s="858"/>
      <c r="F82" s="858"/>
      <c r="G82" s="859"/>
      <c r="H82" s="726"/>
      <c r="I82" s="505"/>
      <c r="J82" s="518"/>
      <c r="K82" s="518"/>
      <c r="L82" s="518"/>
      <c r="M82" s="518"/>
      <c r="N82" s="518"/>
      <c r="O82" s="518"/>
      <c r="P82" s="519"/>
      <c r="Q82" s="519"/>
      <c r="R82" s="519"/>
      <c r="S82" s="519"/>
      <c r="T82" s="519"/>
      <c r="U82" s="519"/>
      <c r="V82" s="519"/>
      <c r="W82" s="519"/>
    </row>
    <row r="83" spans="1:25" s="492" customFormat="1" x14ac:dyDescent="0.45">
      <c r="A83" s="850"/>
      <c r="B83" s="851"/>
      <c r="C83" s="856"/>
      <c r="D83" s="857"/>
      <c r="E83" s="858"/>
      <c r="F83" s="858"/>
      <c r="G83" s="859"/>
      <c r="H83" s="726"/>
      <c r="I83" s="505"/>
      <c r="J83" s="518"/>
      <c r="K83" s="518"/>
      <c r="L83" s="518"/>
      <c r="M83" s="518"/>
      <c r="N83" s="518"/>
      <c r="O83" s="518"/>
      <c r="P83" s="519"/>
      <c r="Q83" s="519"/>
      <c r="R83" s="519"/>
      <c r="S83" s="519"/>
      <c r="T83" s="519"/>
      <c r="U83" s="519"/>
      <c r="V83" s="519"/>
      <c r="W83" s="519"/>
    </row>
    <row r="84" spans="1:25" s="492" customFormat="1" x14ac:dyDescent="0.45">
      <c r="A84" s="850"/>
      <c r="B84" s="851"/>
      <c r="C84" s="856"/>
      <c r="D84" s="857"/>
      <c r="E84" s="858"/>
      <c r="F84" s="858"/>
      <c r="G84" s="859"/>
      <c r="H84" s="726"/>
      <c r="I84" s="505"/>
      <c r="J84" s="518"/>
      <c r="K84" s="518"/>
      <c r="L84" s="518"/>
      <c r="M84" s="518"/>
      <c r="N84" s="518"/>
      <c r="O84" s="518"/>
      <c r="P84" s="519"/>
      <c r="Q84" s="519"/>
      <c r="R84" s="519"/>
      <c r="S84" s="519"/>
      <c r="T84" s="519"/>
      <c r="U84" s="519"/>
      <c r="V84" s="519"/>
      <c r="W84" s="519"/>
    </row>
    <row r="85" spans="1:25" s="492" customFormat="1" x14ac:dyDescent="0.45">
      <c r="A85" s="850"/>
      <c r="B85" s="851"/>
      <c r="C85" s="856"/>
      <c r="D85" s="857"/>
      <c r="E85" s="858"/>
      <c r="F85" s="858"/>
      <c r="G85" s="859"/>
      <c r="H85" s="726"/>
      <c r="I85" s="505"/>
      <c r="J85" s="518"/>
      <c r="K85" s="518"/>
      <c r="L85" s="518"/>
      <c r="M85" s="518"/>
      <c r="N85" s="518"/>
      <c r="O85" s="518"/>
      <c r="P85" s="519"/>
      <c r="Q85" s="519"/>
      <c r="R85" s="519"/>
      <c r="S85" s="519"/>
      <c r="T85" s="519"/>
      <c r="U85" s="519"/>
      <c r="V85" s="519"/>
      <c r="W85" s="519"/>
    </row>
    <row r="86" spans="1:25" s="492" customFormat="1" x14ac:dyDescent="0.45">
      <c r="A86" s="850"/>
      <c r="B86" s="851"/>
      <c r="C86" s="856"/>
      <c r="D86" s="857"/>
      <c r="E86" s="858"/>
      <c r="F86" s="858"/>
      <c r="G86" s="859"/>
      <c r="H86" s="726"/>
      <c r="I86" s="505"/>
      <c r="J86" s="518"/>
      <c r="K86" s="518"/>
      <c r="L86" s="518"/>
      <c r="M86" s="518"/>
      <c r="N86" s="518"/>
      <c r="O86" s="518"/>
      <c r="P86" s="519"/>
      <c r="Q86" s="519"/>
      <c r="R86" s="519"/>
      <c r="S86" s="519"/>
      <c r="T86" s="519"/>
      <c r="U86" s="519"/>
      <c r="V86" s="519"/>
      <c r="W86" s="519"/>
    </row>
    <row r="87" spans="1:25" s="492" customFormat="1" x14ac:dyDescent="0.45">
      <c r="A87" s="850"/>
      <c r="B87" s="851"/>
      <c r="C87" s="856"/>
      <c r="D87" s="857"/>
      <c r="E87" s="858"/>
      <c r="F87" s="858"/>
      <c r="G87" s="859"/>
      <c r="H87" s="726"/>
      <c r="I87" s="505"/>
      <c r="J87" s="518"/>
      <c r="K87" s="518"/>
      <c r="L87" s="518"/>
      <c r="M87" s="518"/>
      <c r="N87" s="518"/>
      <c r="O87" s="518"/>
      <c r="P87" s="519"/>
      <c r="Q87" s="519"/>
      <c r="R87" s="519"/>
      <c r="S87" s="519"/>
      <c r="T87" s="519"/>
      <c r="U87" s="519"/>
      <c r="V87" s="519"/>
      <c r="W87" s="519"/>
    </row>
    <row r="88" spans="1:25" s="492" customFormat="1" x14ac:dyDescent="0.45">
      <c r="A88" s="850"/>
      <c r="B88" s="851"/>
      <c r="C88" s="856"/>
      <c r="D88" s="857"/>
      <c r="E88" s="858"/>
      <c r="F88" s="858"/>
      <c r="G88" s="859"/>
      <c r="H88" s="726"/>
      <c r="I88" s="505"/>
      <c r="J88" s="1003" t="s">
        <v>1123</v>
      </c>
      <c r="K88" s="1004" t="s">
        <v>8</v>
      </c>
      <c r="L88" s="2383" t="s">
        <v>2038</v>
      </c>
      <c r="M88" s="2384"/>
      <c r="N88" s="2384"/>
      <c r="O88" s="2384"/>
      <c r="P88" s="2384"/>
      <c r="Q88" s="2384"/>
      <c r="R88" s="2384"/>
      <c r="S88" s="2384"/>
      <c r="T88" s="2384"/>
      <c r="U88" s="2384"/>
      <c r="V88" s="2385"/>
      <c r="W88" s="519"/>
    </row>
    <row r="89" spans="1:25" s="492" customFormat="1" x14ac:dyDescent="0.45">
      <c r="A89" s="850"/>
      <c r="B89" s="851"/>
      <c r="C89" s="856"/>
      <c r="D89" s="857"/>
      <c r="E89" s="858"/>
      <c r="F89" s="858"/>
      <c r="G89" s="859"/>
      <c r="H89" s="726"/>
      <c r="I89" s="505"/>
      <c r="J89" s="518"/>
      <c r="K89" s="518"/>
      <c r="L89" s="518"/>
      <c r="M89" s="518"/>
      <c r="N89" s="518"/>
      <c r="O89" s="518"/>
      <c r="P89" s="519"/>
      <c r="Q89" s="519"/>
      <c r="R89" s="519"/>
      <c r="S89" s="519"/>
      <c r="T89" s="519"/>
      <c r="U89" s="519"/>
      <c r="V89" s="519"/>
      <c r="W89" s="519"/>
    </row>
    <row r="90" spans="1:25" s="492" customFormat="1" x14ac:dyDescent="0.45">
      <c r="A90" s="850"/>
      <c r="B90" s="851"/>
      <c r="C90" s="856"/>
      <c r="D90" s="857"/>
      <c r="E90" s="858"/>
      <c r="F90" s="858"/>
      <c r="G90" s="859"/>
      <c r="H90" s="726"/>
      <c r="I90" s="505"/>
      <c r="J90" s="2312" t="s">
        <v>2035</v>
      </c>
      <c r="K90" s="2312"/>
      <c r="L90" s="2312"/>
      <c r="M90" s="2312"/>
      <c r="N90" s="2312"/>
      <c r="O90" s="2312"/>
      <c r="P90" s="2312"/>
      <c r="Q90" s="2312"/>
      <c r="R90" s="2312"/>
      <c r="S90" s="2312"/>
      <c r="T90" s="2312"/>
      <c r="U90" s="2312"/>
      <c r="V90" s="2312"/>
      <c r="W90" s="519"/>
    </row>
    <row r="91" spans="1:25" ht="21.5" customHeight="1" x14ac:dyDescent="0.45">
      <c r="A91" s="860"/>
      <c r="B91" s="861"/>
      <c r="C91" s="862"/>
      <c r="D91" s="862"/>
      <c r="E91" s="862"/>
      <c r="F91" s="862"/>
      <c r="G91" s="862"/>
      <c r="H91" s="862"/>
      <c r="J91" s="2313"/>
      <c r="K91" s="2313"/>
      <c r="L91" s="2313"/>
      <c r="M91" s="2313"/>
      <c r="N91" s="2313"/>
      <c r="O91" s="2313"/>
      <c r="P91" s="2313"/>
      <c r="Q91" s="2313"/>
      <c r="R91" s="2313"/>
      <c r="S91" s="2313"/>
      <c r="T91" s="2313"/>
      <c r="U91" s="2313"/>
      <c r="V91" s="2313"/>
    </row>
    <row r="92" spans="1:25" ht="15" customHeight="1" x14ac:dyDescent="0.4">
      <c r="A92" s="860"/>
      <c r="B92" s="851"/>
      <c r="C92" s="2233" t="str">
        <f>"Dibandingkan dengan "&amp;Input!$M$25&amp;", Realisasi Belanja "&amp;Input!$M$24&amp;" "&amp;IF(E103=F103,$L$88,IF(E103&gt;F103,"mengalami kenaikan "&amp;TEXT($G$103,"0,00%")&amp;" persen. ",IF(E103&lt;F103," mengalami penurunan "&amp;TEXT(-$G$103,"0,00%")&amp;" persen ")))&amp;IF(E103=F103,"",IF(E103&gt;F103,$L$92,IF(E103&lt;F103,$L$92)))</f>
        <v>Dibandingkan dengan 31 Desember 2018, Realisasi Belanja 31 Desember 2019  mengalami penurunan 0,60% persen Hal ini disebabkan karena adanya penurunanan pada belanja barang pada tahun sebelumnya, terutama di perjalanan dina, adanya beberapa pegawai yang pensiun juga menjadi penurunan pada belanja pegawai</v>
      </c>
      <c r="D92" s="2233"/>
      <c r="E92" s="2233"/>
      <c r="F92" s="2233"/>
      <c r="G92" s="2233"/>
      <c r="H92" s="2233"/>
      <c r="I92" s="511"/>
      <c r="J92" s="2389" t="s">
        <v>1131</v>
      </c>
      <c r="K92" s="2389" t="s">
        <v>8</v>
      </c>
      <c r="L92" s="2370" t="s">
        <v>2398</v>
      </c>
      <c r="M92" s="2371"/>
      <c r="N92" s="2371"/>
      <c r="O92" s="2371"/>
      <c r="P92" s="2371"/>
      <c r="Q92" s="2371"/>
      <c r="R92" s="2371"/>
      <c r="S92" s="2371"/>
      <c r="T92" s="2371"/>
      <c r="U92" s="2371"/>
      <c r="V92" s="2372"/>
      <c r="X92" s="504"/>
      <c r="Y92" s="335" t="str">
        <f>"Dibandingkan dengan "&amp;Input!$M$25&amp;", Realisasi Belanja "&amp;Input!$M$24&amp;" "&amp;IF(E103=F103,"tidak mengalami perubahan / tetap",IF(E103&gt;F103,"mengalami kenaikan "&amp;TEXT($G$103,"0,00%")&amp;" persen dibandingkan  realisasi belanja pada tahun sebelumnya. "&amp;IF(E103=F103," Realisasi Belanja tidak ada perubahan / nihil ",IF(E103&gt;F103,L92,IF(E103&lt;F103,L92)))&amp;"""."))</f>
        <v>Dibandingkan dengan 31 Desember 2018, Realisasi Belanja 31 Desember 2019 FALSE</v>
      </c>
    </row>
    <row r="93" spans="1:25" ht="15" customHeight="1" x14ac:dyDescent="0.45">
      <c r="A93" s="860"/>
      <c r="B93" s="851"/>
      <c r="C93" s="2233"/>
      <c r="D93" s="2233"/>
      <c r="E93" s="2233"/>
      <c r="F93" s="2233"/>
      <c r="G93" s="2233"/>
      <c r="H93" s="2233"/>
      <c r="J93" s="2390"/>
      <c r="K93" s="2390"/>
      <c r="L93" s="2373"/>
      <c r="M93" s="2374"/>
      <c r="N93" s="2374"/>
      <c r="O93" s="2374"/>
      <c r="P93" s="2374"/>
      <c r="Q93" s="2374"/>
      <c r="R93" s="2374"/>
      <c r="S93" s="2374"/>
      <c r="T93" s="2374"/>
      <c r="U93" s="2374"/>
      <c r="V93" s="2375"/>
    </row>
    <row r="94" spans="1:25" s="492" customFormat="1" ht="15" customHeight="1" x14ac:dyDescent="0.45">
      <c r="A94" s="860"/>
      <c r="B94" s="851"/>
      <c r="C94" s="2233"/>
      <c r="D94" s="2233"/>
      <c r="E94" s="2233"/>
      <c r="F94" s="2233"/>
      <c r="G94" s="2233"/>
      <c r="H94" s="2233"/>
      <c r="I94" s="505"/>
      <c r="J94" s="2390"/>
      <c r="K94" s="2390"/>
      <c r="L94" s="2373"/>
      <c r="M94" s="2374"/>
      <c r="N94" s="2374"/>
      <c r="O94" s="2374"/>
      <c r="P94" s="2374"/>
      <c r="Q94" s="2374"/>
      <c r="R94" s="2374"/>
      <c r="S94" s="2374"/>
      <c r="T94" s="2374"/>
      <c r="U94" s="2374"/>
      <c r="V94" s="2375"/>
      <c r="W94" s="519"/>
    </row>
    <row r="95" spans="1:25" ht="28.5" customHeight="1" x14ac:dyDescent="0.45">
      <c r="A95" s="860"/>
      <c r="B95" s="851"/>
      <c r="C95" s="2311"/>
      <c r="D95" s="2311"/>
      <c r="E95" s="2311"/>
      <c r="F95" s="2311"/>
      <c r="G95" s="2311"/>
      <c r="H95" s="2311"/>
      <c r="J95" s="2390"/>
      <c r="K95" s="2390"/>
      <c r="L95" s="2373"/>
      <c r="M95" s="2374"/>
      <c r="N95" s="2374"/>
      <c r="O95" s="2374"/>
      <c r="P95" s="2374"/>
      <c r="Q95" s="2374"/>
      <c r="R95" s="2374"/>
      <c r="S95" s="2374"/>
      <c r="T95" s="2374"/>
      <c r="U95" s="2374"/>
      <c r="V95" s="2375"/>
    </row>
    <row r="96" spans="1:25" ht="15.75" customHeight="1" x14ac:dyDescent="0.45">
      <c r="A96" s="860"/>
      <c r="B96" s="851"/>
      <c r="C96" s="2360" t="str">
        <f>"Perbandingan Realisasi Belanja "&amp;Input!$M$24&amp;" dan "&amp;Input!$M$25</f>
        <v>Perbandingan Realisasi Belanja 31 Desember 2019 dan 31 Desember 2018</v>
      </c>
      <c r="D96" s="2360"/>
      <c r="E96" s="2360"/>
      <c r="F96" s="2360"/>
      <c r="G96" s="2360"/>
      <c r="H96" s="863"/>
      <c r="J96" s="2390"/>
      <c r="K96" s="2390"/>
      <c r="L96" s="2373"/>
      <c r="M96" s="2374"/>
      <c r="N96" s="2374"/>
      <c r="O96" s="2374"/>
      <c r="P96" s="2374"/>
      <c r="Q96" s="2374"/>
      <c r="R96" s="2374"/>
      <c r="S96" s="2374"/>
      <c r="T96" s="2374"/>
      <c r="U96" s="2374"/>
      <c r="V96" s="2375"/>
    </row>
    <row r="97" spans="1:25" ht="27" customHeight="1" x14ac:dyDescent="0.45">
      <c r="A97" s="860"/>
      <c r="B97" s="851"/>
      <c r="C97" s="2353" t="s">
        <v>112</v>
      </c>
      <c r="D97" s="2353" t="s">
        <v>45</v>
      </c>
      <c r="E97" s="840" t="s">
        <v>46</v>
      </c>
      <c r="F97" s="840" t="s">
        <v>46</v>
      </c>
      <c r="G97" s="2336" t="s">
        <v>1785</v>
      </c>
      <c r="H97" s="865"/>
      <c r="J97" s="2390"/>
      <c r="K97" s="2390"/>
      <c r="L97" s="2373"/>
      <c r="M97" s="2374"/>
      <c r="N97" s="2374"/>
      <c r="O97" s="2374"/>
      <c r="P97" s="2374"/>
      <c r="Q97" s="2374"/>
      <c r="R97" s="2374"/>
      <c r="S97" s="2374"/>
      <c r="T97" s="2374"/>
      <c r="U97" s="2374"/>
      <c r="V97" s="2375"/>
    </row>
    <row r="98" spans="1:25" ht="18" customHeight="1" x14ac:dyDescent="0.45">
      <c r="A98" s="860"/>
      <c r="B98" s="851"/>
      <c r="C98" s="2353"/>
      <c r="D98" s="2353"/>
      <c r="E98" s="841" t="s">
        <v>2341</v>
      </c>
      <c r="F98" s="841" t="s">
        <v>2319</v>
      </c>
      <c r="G98" s="2337"/>
      <c r="H98" s="857"/>
      <c r="J98" s="2390"/>
      <c r="K98" s="2390"/>
      <c r="L98" s="2373"/>
      <c r="M98" s="2374"/>
      <c r="N98" s="2374"/>
      <c r="O98" s="2374"/>
      <c r="P98" s="2374"/>
      <c r="Q98" s="2374"/>
      <c r="R98" s="2374"/>
      <c r="S98" s="2374"/>
      <c r="T98" s="2374"/>
      <c r="U98" s="2374"/>
      <c r="V98" s="2375"/>
    </row>
    <row r="99" spans="1:25" x14ac:dyDescent="0.45">
      <c r="A99" s="860"/>
      <c r="B99" s="851"/>
      <c r="C99" s="868">
        <v>1</v>
      </c>
      <c r="D99" s="869" t="s">
        <v>64</v>
      </c>
      <c r="E99" s="1388">
        <f>Input!W149</f>
        <v>3316366778</v>
      </c>
      <c r="F99" s="1387">
        <f>Input!Z149</f>
        <v>3415029601</v>
      </c>
      <c r="G99" s="870">
        <f>IF(ISERROR((E99-F99)/F99),0,((E99-F99)/F99))</f>
        <v>-2.8890766560591228E-2</v>
      </c>
      <c r="H99" s="871"/>
      <c r="J99" s="2390"/>
      <c r="K99" s="2390"/>
      <c r="L99" s="2373"/>
      <c r="M99" s="2374"/>
      <c r="N99" s="2374"/>
      <c r="O99" s="2374"/>
      <c r="P99" s="2374"/>
      <c r="Q99" s="2374"/>
      <c r="R99" s="2374"/>
      <c r="S99" s="2374"/>
      <c r="T99" s="2374"/>
      <c r="U99" s="2374"/>
      <c r="V99" s="2375"/>
      <c r="X99" s="431">
        <f>Input!Z149</f>
        <v>3415029601</v>
      </c>
    </row>
    <row r="100" spans="1:25" x14ac:dyDescent="0.45">
      <c r="A100" s="860"/>
      <c r="B100" s="851"/>
      <c r="C100" s="868">
        <v>2</v>
      </c>
      <c r="D100" s="869" t="s">
        <v>66</v>
      </c>
      <c r="E100" s="1388">
        <f>Input!W237</f>
        <v>6645148395</v>
      </c>
      <c r="F100" s="1387">
        <f>Input!Z237</f>
        <v>6728308800</v>
      </c>
      <c r="G100" s="870">
        <f>IF(ISERROR((E100-F100)/F100),0,((E100-F100)/F100))</f>
        <v>-1.2359778284849233E-2</v>
      </c>
      <c r="H100" s="871"/>
      <c r="J100" s="2390"/>
      <c r="K100" s="2390"/>
      <c r="L100" s="2373"/>
      <c r="M100" s="2374"/>
      <c r="N100" s="2374"/>
      <c r="O100" s="2374"/>
      <c r="P100" s="2374"/>
      <c r="Q100" s="2374"/>
      <c r="R100" s="2374"/>
      <c r="S100" s="2374"/>
      <c r="T100" s="2374"/>
      <c r="U100" s="2374"/>
      <c r="V100" s="2375"/>
    </row>
    <row r="101" spans="1:25" x14ac:dyDescent="0.45">
      <c r="A101" s="860"/>
      <c r="B101" s="851"/>
      <c r="C101" s="872">
        <v>3</v>
      </c>
      <c r="D101" s="869" t="s">
        <v>1671</v>
      </c>
      <c r="E101" s="1388">
        <f>Input!H538</f>
        <v>0</v>
      </c>
      <c r="F101" s="1387">
        <f>Input!M538</f>
        <v>0</v>
      </c>
      <c r="G101" s="870">
        <f>IF(ISERROR((E101-F101)/F101),0,((E101-F101)/F101))</f>
        <v>0</v>
      </c>
      <c r="H101" s="871"/>
      <c r="J101" s="2390"/>
      <c r="K101" s="2390"/>
      <c r="L101" s="2373"/>
      <c r="M101" s="2374"/>
      <c r="N101" s="2374"/>
      <c r="O101" s="2374"/>
      <c r="P101" s="2374"/>
      <c r="Q101" s="2374"/>
      <c r="R101" s="2374"/>
      <c r="S101" s="2374"/>
      <c r="T101" s="2374"/>
      <c r="U101" s="2374"/>
      <c r="V101" s="2375"/>
    </row>
    <row r="102" spans="1:25" x14ac:dyDescent="0.45">
      <c r="A102" s="860"/>
      <c r="B102" s="851"/>
      <c r="C102" s="868">
        <v>4</v>
      </c>
      <c r="D102" s="869" t="s">
        <v>68</v>
      </c>
      <c r="E102" s="1388">
        <f>Input!W398</f>
        <v>1470129550</v>
      </c>
      <c r="F102" s="1387">
        <f>Input!T570</f>
        <v>1357557649</v>
      </c>
      <c r="G102" s="870">
        <f>IF(ISERROR((E102-F102)/F102),0,((E102-F102)/F102))</f>
        <v>8.2922372455359356E-2</v>
      </c>
      <c r="H102" s="871"/>
      <c r="J102" s="2390"/>
      <c r="K102" s="2390"/>
      <c r="L102" s="2373"/>
      <c r="M102" s="2374"/>
      <c r="N102" s="2374"/>
      <c r="O102" s="2374"/>
      <c r="P102" s="2374"/>
      <c r="Q102" s="2374"/>
      <c r="R102" s="2374"/>
      <c r="S102" s="2374"/>
      <c r="T102" s="2374"/>
      <c r="U102" s="2374"/>
      <c r="V102" s="2375"/>
    </row>
    <row r="103" spans="1:25" x14ac:dyDescent="0.45">
      <c r="A103" s="860"/>
      <c r="B103" s="851"/>
      <c r="C103" s="2272" t="s">
        <v>115</v>
      </c>
      <c r="D103" s="2273"/>
      <c r="E103" s="1385">
        <f>SUM(E99:E102)</f>
        <v>11431644723</v>
      </c>
      <c r="F103" s="1385">
        <f>SUM(F99:F102)</f>
        <v>11500896050</v>
      </c>
      <c r="G103" s="837">
        <f>IF(ISERROR((E103-F103)/F103),0,((E103-F103)/F103))</f>
        <v>-6.0213853511005347E-3</v>
      </c>
      <c r="H103" s="873"/>
      <c r="J103" s="2391"/>
      <c r="K103" s="2391"/>
      <c r="L103" s="2376"/>
      <c r="M103" s="2377"/>
      <c r="N103" s="2377"/>
      <c r="O103" s="2377"/>
      <c r="P103" s="2377"/>
      <c r="Q103" s="2377"/>
      <c r="R103" s="2377"/>
      <c r="S103" s="2377"/>
      <c r="T103" s="2377"/>
      <c r="U103" s="2377"/>
      <c r="V103" s="2378"/>
    </row>
    <row r="104" spans="1:25" ht="6.75" customHeight="1" x14ac:dyDescent="0.45">
      <c r="A104" s="874"/>
      <c r="B104" s="726"/>
      <c r="C104" s="726"/>
      <c r="D104" s="726"/>
      <c r="E104" s="726"/>
      <c r="F104" s="726"/>
      <c r="G104" s="726"/>
      <c r="H104" s="726"/>
    </row>
    <row r="105" spans="1:25" ht="18.75" customHeight="1" x14ac:dyDescent="0.45">
      <c r="A105" s="2259" t="str">
        <f>"Belanja Pegawai "&amp;TEXT($E$129,"Rp#.##0")</f>
        <v>Belanja Pegawai Rp3.316.366.778</v>
      </c>
      <c r="B105" s="849"/>
      <c r="C105" s="741" t="s">
        <v>1972</v>
      </c>
      <c r="D105" s="875"/>
      <c r="E105" s="875"/>
      <c r="F105" s="875"/>
      <c r="G105" s="875"/>
      <c r="H105" s="875"/>
      <c r="J105" s="2427"/>
      <c r="K105" s="2427"/>
      <c r="L105" s="2427"/>
      <c r="M105" s="2427"/>
      <c r="N105" s="2427"/>
      <c r="O105" s="2427"/>
      <c r="P105" s="2427"/>
      <c r="Q105" s="2427"/>
      <c r="R105" s="2427"/>
      <c r="S105" s="2427"/>
      <c r="T105" s="2427"/>
      <c r="U105" s="2427"/>
      <c r="V105" s="2427"/>
    </row>
    <row r="106" spans="1:25" ht="18.75" customHeight="1" x14ac:dyDescent="0.4">
      <c r="A106" s="2259"/>
      <c r="B106" s="849"/>
      <c r="C106" s="2192" t="str">
        <f>"Realisasi Belanja Pegawai "&amp;Input!$M$24&amp;" dan "&amp;Input!$M$25&amp;" adalah masing-masing sebesar "&amp;TEXT($E$129,"Rp#.##0")&amp;" dan "&amp;TEXT($F$129,"Rp#.##0")&amp;". "&amp;"Belanja Pegawai adalah belanja atas kompensasi, baik dalam bentuk uang maupun barang yang ditetapkan berdasarkan peraturan perundang-undangan yang diberikan kepada pejabat negara, Pegawai Negeri Sipil (PNS), "&amp;"dan pegawai yang dipekerjakan oleh pemerintah yang belum berstatus PNS sebagai imbalan atas pekerjaan yang telah dilaksanakan kecuali pekerjaan yang berkaitan dengan pembentukan modal."</f>
        <v>Realisasi Belanja Pegawai 31 Desember 2019 dan 31 Desember 2018 adalah masing-masing sebesar Rp3.316.366.778 dan Rp3.415.029.601. Belanja Pegawai adalah belanja atas kompensasi, baik dalam bentuk uang maupun barang yang ditetapkan berdasarkan peraturan perundang-undangan yang diberikan kepada pejabat negara, Pegawai Negeri Sipil (PNS), dan pegawai yang dipekerjakan oleh pemerintah yang belum berstatus PNS sebagai imbalan atas pekerjaan yang telah dilaksanakan kecuali pekerjaan yang berkaitan dengan pembentukan modal.</v>
      </c>
      <c r="D106" s="2192"/>
      <c r="E106" s="2192"/>
      <c r="F106" s="2192"/>
      <c r="G106" s="2192"/>
      <c r="H106" s="2192"/>
      <c r="I106" s="511"/>
      <c r="J106" s="2364"/>
      <c r="K106" s="2364"/>
      <c r="L106" s="1129"/>
      <c r="M106" s="1129"/>
      <c r="N106" s="1129"/>
      <c r="O106" s="1129"/>
      <c r="P106" s="1129"/>
      <c r="Q106" s="1129"/>
      <c r="R106" s="1129"/>
      <c r="S106" s="1129"/>
      <c r="T106" s="1129"/>
      <c r="U106" s="1129"/>
      <c r="V106" s="1129"/>
      <c r="Y106" s="492" t="str">
        <f>"Realisasi Belanja Pegawai "&amp;Input!$M$24&amp;" dan "&amp;Input!$M$25&amp;" adalah masing-masing sebesar "&amp;TEXT($E$129,"Rp#.##0")&amp;" dan "&amp;TEXT($F$129,"Rp#.##0")&amp;". "&amp;IF(E129=F129," Belanja Pegawai tidak ada perubahan / nihil ",IF(E129&gt;F129,$L$106,IF(E129&lt;F129,$L$106)))&amp;"."</f>
        <v>Realisasi Belanja Pegawai 31 Desember 2019 dan 31 Desember 2018 adalah masing-masing sebesar Rp3.316.366.778 dan Rp3.415.029.601. .</v>
      </c>
    </row>
    <row r="107" spans="1:25" x14ac:dyDescent="0.4">
      <c r="A107" s="2259"/>
      <c r="B107" s="849"/>
      <c r="C107" s="2192"/>
      <c r="D107" s="2192"/>
      <c r="E107" s="2192"/>
      <c r="F107" s="2192"/>
      <c r="G107" s="2192"/>
      <c r="H107" s="2192"/>
      <c r="I107" s="511"/>
      <c r="J107" s="2364"/>
      <c r="K107" s="2364"/>
      <c r="L107" s="1129"/>
      <c r="M107" s="1129"/>
      <c r="N107" s="1129"/>
      <c r="O107" s="1129"/>
      <c r="P107" s="1129"/>
      <c r="Q107" s="1129"/>
      <c r="R107" s="1129"/>
      <c r="S107" s="1129"/>
      <c r="T107" s="1129"/>
      <c r="U107" s="1129"/>
      <c r="V107" s="1129"/>
    </row>
    <row r="108" spans="1:25" s="492" customFormat="1" x14ac:dyDescent="0.4">
      <c r="A108" s="2259"/>
      <c r="B108" s="849"/>
      <c r="C108" s="2118"/>
      <c r="D108" s="2118"/>
      <c r="E108" s="2118"/>
      <c r="F108" s="2118"/>
      <c r="G108" s="2118"/>
      <c r="H108" s="2118"/>
      <c r="I108" s="511"/>
      <c r="J108" s="1003" t="s">
        <v>1123</v>
      </c>
      <c r="K108" s="1004" t="s">
        <v>8</v>
      </c>
      <c r="L108" s="2383" t="s">
        <v>2038</v>
      </c>
      <c r="M108" s="2384"/>
      <c r="N108" s="2384"/>
      <c r="O108" s="2384"/>
      <c r="P108" s="2384"/>
      <c r="Q108" s="2384"/>
      <c r="R108" s="2384"/>
      <c r="S108" s="2384"/>
      <c r="T108" s="2384"/>
      <c r="U108" s="2384"/>
      <c r="V108" s="2385"/>
      <c r="W108" s="755"/>
    </row>
    <row r="109" spans="1:25" s="492" customFormat="1" x14ac:dyDescent="0.4">
      <c r="A109" s="1088"/>
      <c r="B109" s="849"/>
      <c r="C109" s="2118"/>
      <c r="D109" s="2118"/>
      <c r="E109" s="2118"/>
      <c r="F109" s="2118"/>
      <c r="G109" s="2118"/>
      <c r="H109" s="2118"/>
      <c r="I109" s="511"/>
      <c r="J109" s="1089"/>
      <c r="K109" s="1089"/>
      <c r="L109" s="1129"/>
      <c r="M109" s="1129"/>
      <c r="N109" s="1129"/>
      <c r="O109" s="1129"/>
      <c r="P109" s="1129"/>
      <c r="Q109" s="1129"/>
      <c r="R109" s="1129"/>
      <c r="S109" s="1129"/>
      <c r="T109" s="1129"/>
      <c r="U109" s="1129"/>
      <c r="V109" s="1129"/>
      <c r="W109" s="1090"/>
    </row>
    <row r="110" spans="1:25" s="492" customFormat="1" ht="33" customHeight="1" x14ac:dyDescent="0.4">
      <c r="A110" s="1072"/>
      <c r="B110" s="849"/>
      <c r="C110" s="2118"/>
      <c r="D110" s="2118"/>
      <c r="E110" s="2118"/>
      <c r="F110" s="2118"/>
      <c r="G110" s="2118"/>
      <c r="H110" s="2118"/>
      <c r="I110" s="511"/>
      <c r="J110" s="2428" t="s">
        <v>2036</v>
      </c>
      <c r="K110" s="2428"/>
      <c r="L110" s="2428"/>
      <c r="M110" s="2428"/>
      <c r="N110" s="2428"/>
      <c r="O110" s="2428"/>
      <c r="P110" s="2428"/>
      <c r="Q110" s="2428"/>
      <c r="R110" s="2428"/>
      <c r="S110" s="2428"/>
      <c r="T110" s="2428"/>
      <c r="U110" s="2428"/>
      <c r="V110" s="2428"/>
      <c r="W110" s="755"/>
    </row>
    <row r="111" spans="1:25" s="492" customFormat="1" ht="3" customHeight="1" x14ac:dyDescent="0.4">
      <c r="A111" s="1072"/>
      <c r="B111" s="849"/>
      <c r="C111" s="2118"/>
      <c r="D111" s="2118"/>
      <c r="E111" s="2118"/>
      <c r="F111" s="2118"/>
      <c r="G111" s="2118"/>
      <c r="H111" s="2118"/>
      <c r="I111" s="511"/>
      <c r="J111" s="1089"/>
      <c r="K111" s="1089"/>
      <c r="L111" s="1129"/>
      <c r="M111" s="1129"/>
      <c r="N111" s="1129"/>
      <c r="O111" s="1129"/>
      <c r="P111" s="1129"/>
      <c r="Q111" s="1129"/>
      <c r="R111" s="1129"/>
      <c r="S111" s="1129"/>
      <c r="T111" s="1129"/>
      <c r="U111" s="1129"/>
      <c r="V111" s="1129"/>
      <c r="W111" s="755"/>
    </row>
    <row r="112" spans="1:25" s="492" customFormat="1" x14ac:dyDescent="0.4">
      <c r="A112" s="1072"/>
      <c r="B112" s="849"/>
      <c r="C112" s="2233" t="str">
        <f>"Realisasi belanja pegawai "&amp;Input!$M$24&amp;" "&amp;IF(E129=F129,$L$108,IF(E129&gt;F129,"mengalami kenaikan "&amp;TEXT($G$129,"0,00%")&amp;" persen dari "&amp;Input!$M$25&amp;". ",IF(E129&lt;F129," mengalami penurunan "&amp;TEXT(-$G$129,"0,00%")&amp;" persen dari "&amp;Input!$M$25&amp;". ")))&amp;IF(E129=F129,"",IF(E129&gt;F129,$L$112,IF(E129&lt;F129,$L$112)))</f>
        <v>Realisasi belanja pegawai 31 Desember 2019  mengalami penurunan 2,89% persen dari 31 Desember 2018. Hal ini disebabkan karena terdapat pegawai yang pensiun sebanyak 5 orang.jadi hal ini berdampak pada pengurangan belanja pegawai.</v>
      </c>
      <c r="D112" s="2233"/>
      <c r="E112" s="2233"/>
      <c r="F112" s="2233"/>
      <c r="G112" s="2233"/>
      <c r="H112" s="2233"/>
      <c r="I112" s="511"/>
      <c r="J112" s="2389" t="s">
        <v>1131</v>
      </c>
      <c r="K112" s="2389" t="s">
        <v>8</v>
      </c>
      <c r="L112" s="2438" t="s">
        <v>2373</v>
      </c>
      <c r="M112" s="2439"/>
      <c r="N112" s="2439"/>
      <c r="O112" s="2439"/>
      <c r="P112" s="2439"/>
      <c r="Q112" s="2439"/>
      <c r="R112" s="2439"/>
      <c r="S112" s="2439"/>
      <c r="T112" s="2439"/>
      <c r="U112" s="2439"/>
      <c r="V112" s="2440"/>
      <c r="W112" s="755"/>
      <c r="Y112" s="492" t="str">
        <f>"Realisasi belanja "&amp;Input!$M$24&amp;" "&amp;IF(E129=F129,"tidak mengalami perubahan / tetap",IF(E129&gt;F129,"mengalami kenaikan "&amp;TEXT($G$129,"0,00%")&amp;" persen dari "&amp;Input!$M$25&amp;". "&amp;IF(E103=F103," Realisasi Belanja tidak ada perubahan / nihil ",IF(E129&gt;=F129,L106,IF(E129&lt;=F129,L106)))&amp;"."))</f>
        <v>Realisasi belanja 31 Desember 2019 FALSE</v>
      </c>
    </row>
    <row r="113" spans="1:24" s="492" customFormat="1" x14ac:dyDescent="0.4">
      <c r="A113" s="1072"/>
      <c r="B113" s="849"/>
      <c r="C113" s="2233"/>
      <c r="D113" s="2233"/>
      <c r="E113" s="2233"/>
      <c r="F113" s="2233"/>
      <c r="G113" s="2233"/>
      <c r="H113" s="2233"/>
      <c r="I113" s="511"/>
      <c r="J113" s="2390"/>
      <c r="K113" s="2390"/>
      <c r="L113" s="2441"/>
      <c r="M113" s="2442"/>
      <c r="N113" s="2442"/>
      <c r="O113" s="2442"/>
      <c r="P113" s="2442"/>
      <c r="Q113" s="2442"/>
      <c r="R113" s="2442"/>
      <c r="S113" s="2442"/>
      <c r="T113" s="2442"/>
      <c r="U113" s="2442"/>
      <c r="V113" s="2443"/>
      <c r="W113" s="755"/>
    </row>
    <row r="114" spans="1:24" s="492" customFormat="1" ht="25.5" customHeight="1" x14ac:dyDescent="0.4">
      <c r="A114" s="1072"/>
      <c r="B114" s="849"/>
      <c r="C114" s="2233"/>
      <c r="D114" s="2233"/>
      <c r="E114" s="2233"/>
      <c r="F114" s="2233"/>
      <c r="G114" s="2233"/>
      <c r="H114" s="2233"/>
      <c r="I114" s="511"/>
      <c r="J114" s="2390"/>
      <c r="K114" s="2390"/>
      <c r="L114" s="2441"/>
      <c r="M114" s="2442"/>
      <c r="N114" s="2442"/>
      <c r="O114" s="2442"/>
      <c r="P114" s="2442"/>
      <c r="Q114" s="2442"/>
      <c r="R114" s="2442"/>
      <c r="S114" s="2442"/>
      <c r="T114" s="2442"/>
      <c r="U114" s="2442"/>
      <c r="V114" s="2443"/>
      <c r="W114" s="755"/>
    </row>
    <row r="115" spans="1:24" ht="8.25" customHeight="1" x14ac:dyDescent="0.45">
      <c r="A115" s="1072"/>
      <c r="B115" s="851"/>
      <c r="C115" s="742"/>
      <c r="D115" s="742"/>
      <c r="E115" s="742"/>
      <c r="F115" s="742"/>
      <c r="G115" s="742"/>
      <c r="H115" s="742"/>
      <c r="J115" s="2390"/>
      <c r="K115" s="2390"/>
      <c r="L115" s="2441"/>
      <c r="M115" s="2442"/>
      <c r="N115" s="2442"/>
      <c r="O115" s="2442"/>
      <c r="P115" s="2442"/>
      <c r="Q115" s="2442"/>
      <c r="R115" s="2442"/>
      <c r="S115" s="2442"/>
      <c r="T115" s="2442"/>
      <c r="U115" s="2442"/>
      <c r="V115" s="2443"/>
    </row>
    <row r="116" spans="1:24" ht="16.5" customHeight="1" x14ac:dyDescent="0.45">
      <c r="A116" s="850"/>
      <c r="B116" s="851"/>
      <c r="C116" s="2338" t="str">
        <f>"Perbandingan Belanja Pegawai "&amp;Input!$M$24&amp;" dan  "&amp;Input!$M$25</f>
        <v>Perbandingan Belanja Pegawai 31 Desember 2019 dan  31 Desember 2018</v>
      </c>
      <c r="D116" s="2338"/>
      <c r="E116" s="2338"/>
      <c r="F116" s="2338"/>
      <c r="G116" s="2338"/>
      <c r="H116" s="876"/>
      <c r="J116" s="2390"/>
      <c r="K116" s="2390"/>
      <c r="L116" s="2441"/>
      <c r="M116" s="2442"/>
      <c r="N116" s="2442"/>
      <c r="O116" s="2442"/>
      <c r="P116" s="2442"/>
      <c r="Q116" s="2442"/>
      <c r="R116" s="2442"/>
      <c r="S116" s="2442"/>
      <c r="T116" s="2442"/>
      <c r="U116" s="2442"/>
      <c r="V116" s="2443"/>
    </row>
    <row r="117" spans="1:24" ht="25.5" customHeight="1" x14ac:dyDescent="0.45">
      <c r="A117" s="850"/>
      <c r="B117" s="851"/>
      <c r="C117" s="2379" t="s">
        <v>45</v>
      </c>
      <c r="D117" s="2380"/>
      <c r="E117" s="840" t="s">
        <v>46</v>
      </c>
      <c r="F117" s="840" t="s">
        <v>46</v>
      </c>
      <c r="G117" s="2336" t="s">
        <v>1785</v>
      </c>
      <c r="H117" s="877"/>
      <c r="J117" s="2390"/>
      <c r="K117" s="2390"/>
      <c r="L117" s="2441"/>
      <c r="M117" s="2442"/>
      <c r="N117" s="2442"/>
      <c r="O117" s="2442"/>
      <c r="P117" s="2442"/>
      <c r="Q117" s="2442"/>
      <c r="R117" s="2442"/>
      <c r="S117" s="2442"/>
      <c r="T117" s="2442"/>
      <c r="U117" s="2442"/>
      <c r="V117" s="2443"/>
    </row>
    <row r="118" spans="1:24" ht="28" x14ac:dyDescent="0.45">
      <c r="A118" s="850"/>
      <c r="B118" s="851"/>
      <c r="C118" s="2381"/>
      <c r="D118" s="2382"/>
      <c r="E118" s="841" t="str">
        <f>Input!$M$24</f>
        <v>31 Desember 2019</v>
      </c>
      <c r="F118" s="841" t="str">
        <f>Input!$M$25</f>
        <v>31 Desember 2018</v>
      </c>
      <c r="G118" s="2337"/>
      <c r="H118" s="877"/>
      <c r="J118" s="2390"/>
      <c r="K118" s="2390"/>
      <c r="L118" s="2441"/>
      <c r="M118" s="2442"/>
      <c r="N118" s="2442"/>
      <c r="O118" s="2442"/>
      <c r="P118" s="2442"/>
      <c r="Q118" s="2442"/>
      <c r="R118" s="2442"/>
      <c r="S118" s="2442"/>
      <c r="T118" s="2442"/>
      <c r="U118" s="2442"/>
      <c r="V118" s="2443"/>
    </row>
    <row r="119" spans="1:24" x14ac:dyDescent="0.45">
      <c r="A119" s="850"/>
      <c r="B119" s="851"/>
      <c r="C119" s="2277" t="str">
        <f t="shared" ref="C119:C126" si="4">VLOOKUP(I119,pegawai,2,FALSE)</f>
        <v>Belanja Gaji dan Tunjangan PNS</v>
      </c>
      <c r="D119" s="2278"/>
      <c r="E119" s="1388">
        <f>Input!$W$138</f>
        <v>3316369326</v>
      </c>
      <c r="F119" s="1387">
        <f>Input!$Z$138</f>
        <v>3399287435</v>
      </c>
      <c r="G119" s="870">
        <f>IF(ISERROR((E119-F119)/F119),0,((E119-F119)/F119))</f>
        <v>-2.4392791308629067E-2</v>
      </c>
      <c r="H119" s="878"/>
      <c r="I119" s="505" t="s">
        <v>1110</v>
      </c>
      <c r="J119" s="2391"/>
      <c r="K119" s="2391"/>
      <c r="L119" s="2444"/>
      <c r="M119" s="2445"/>
      <c r="N119" s="2445"/>
      <c r="O119" s="2445"/>
      <c r="P119" s="2445"/>
      <c r="Q119" s="2445"/>
      <c r="R119" s="2445"/>
      <c r="S119" s="2445"/>
      <c r="T119" s="2445"/>
      <c r="U119" s="2445"/>
      <c r="V119" s="2446"/>
      <c r="X119" s="431">
        <f>Input!$Z$138</f>
        <v>3399287435</v>
      </c>
    </row>
    <row r="120" spans="1:24" x14ac:dyDescent="0.45">
      <c r="A120" s="850"/>
      <c r="B120" s="851"/>
      <c r="C120" s="2277" t="str">
        <f t="shared" si="4"/>
        <v>Belanja Gaji dan Tunjangan TNI/Polri</v>
      </c>
      <c r="D120" s="2278"/>
      <c r="E120" s="1388">
        <f>Input!$W$139</f>
        <v>0</v>
      </c>
      <c r="F120" s="1387">
        <f>Input!$Z$139</f>
        <v>0</v>
      </c>
      <c r="G120" s="870">
        <f>IF(ISERROR((E120-F120)/F120),0,((E120-F120)/F120))</f>
        <v>0</v>
      </c>
      <c r="H120" s="878"/>
      <c r="I120" s="505" t="s">
        <v>1116</v>
      </c>
      <c r="J120" s="754"/>
      <c r="K120" s="754"/>
      <c r="L120" s="896"/>
      <c r="M120" s="896"/>
      <c r="N120" s="896"/>
      <c r="O120" s="896"/>
      <c r="P120" s="896"/>
      <c r="Q120" s="896"/>
      <c r="R120" s="896"/>
      <c r="S120" s="896"/>
      <c r="T120" s="896"/>
      <c r="U120" s="896"/>
      <c r="V120" s="896"/>
    </row>
    <row r="121" spans="1:24" ht="32.25" customHeight="1" x14ac:dyDescent="0.45">
      <c r="A121" s="850"/>
      <c r="B121" s="851"/>
      <c r="C121" s="2339" t="str">
        <f t="shared" si="4"/>
        <v>Belanja Gaji dan Tunjangan Pejabat Negara</v>
      </c>
      <c r="D121" s="2369"/>
      <c r="E121" s="1388">
        <f>Input!$W$140</f>
        <v>0</v>
      </c>
      <c r="F121" s="1387">
        <f>Input!$Z$140</f>
        <v>0</v>
      </c>
      <c r="G121" s="870">
        <f>IF(ISERROR((E121-F121)/F121),0,((E121-F121)/F121))</f>
        <v>0</v>
      </c>
      <c r="H121" s="878"/>
      <c r="I121" s="505" t="s">
        <v>1117</v>
      </c>
      <c r="J121" s="2365"/>
      <c r="K121" s="2365"/>
      <c r="L121" s="2366"/>
      <c r="M121" s="2366"/>
      <c r="N121" s="2366"/>
      <c r="O121" s="2366"/>
      <c r="P121" s="2366"/>
      <c r="Q121" s="2366"/>
      <c r="R121" s="2366"/>
      <c r="S121" s="2366"/>
      <c r="T121" s="2366"/>
      <c r="U121" s="2366"/>
      <c r="V121" s="2366"/>
    </row>
    <row r="122" spans="1:24" x14ac:dyDescent="0.45">
      <c r="A122" s="850"/>
      <c r="B122" s="851"/>
      <c r="C122" s="2277" t="str">
        <f t="shared" si="4"/>
        <v>Belanja Gaji Dokter PTT</v>
      </c>
      <c r="D122" s="2278"/>
      <c r="E122" s="1388">
        <f>Input!$W$141</f>
        <v>0</v>
      </c>
      <c r="F122" s="1387">
        <f>Input!$Z$141</f>
        <v>0</v>
      </c>
      <c r="G122" s="870">
        <f>IF(ISERROR((E122-F122)/F122),0,((E122-F122)/F122))</f>
        <v>0</v>
      </c>
      <c r="H122" s="878"/>
      <c r="I122" s="505" t="s">
        <v>1118</v>
      </c>
      <c r="J122" s="2365"/>
      <c r="K122" s="2365"/>
      <c r="L122" s="2366"/>
      <c r="M122" s="2366"/>
      <c r="N122" s="2366"/>
      <c r="O122" s="2366"/>
      <c r="P122" s="2366"/>
      <c r="Q122" s="2366"/>
      <c r="R122" s="2366"/>
      <c r="S122" s="2366"/>
      <c r="T122" s="2366"/>
      <c r="U122" s="2366"/>
      <c r="V122" s="2366"/>
    </row>
    <row r="123" spans="1:24" x14ac:dyDescent="0.45">
      <c r="A123" s="850"/>
      <c r="B123" s="851"/>
      <c r="C123" s="2277" t="str">
        <f t="shared" si="4"/>
        <v>Belanja Gaji Pokok Peg. Non PNS</v>
      </c>
      <c r="D123" s="2278"/>
      <c r="E123" s="1388">
        <f>Input!$W$142</f>
        <v>0</v>
      </c>
      <c r="F123" s="1387">
        <f>Input!$Z$142</f>
        <v>0</v>
      </c>
      <c r="G123" s="870">
        <f>IF(ISERROR((E123-F123)/F123),0,((E123-F123)/F123))</f>
        <v>0</v>
      </c>
      <c r="H123" s="878"/>
      <c r="I123" s="505" t="s">
        <v>1119</v>
      </c>
      <c r="J123" s="2365"/>
      <c r="K123" s="2365"/>
      <c r="L123" s="2366"/>
      <c r="M123" s="2366"/>
      <c r="N123" s="2366"/>
      <c r="O123" s="2366"/>
      <c r="P123" s="2366"/>
      <c r="Q123" s="2366"/>
      <c r="R123" s="2366"/>
      <c r="S123" s="2366"/>
      <c r="T123" s="2366"/>
      <c r="U123" s="2366"/>
      <c r="V123" s="2366"/>
    </row>
    <row r="124" spans="1:24" x14ac:dyDescent="0.45">
      <c r="A124" s="850"/>
      <c r="B124" s="851"/>
      <c r="C124" s="2277" t="str">
        <f t="shared" si="4"/>
        <v>Belanja Honorarium</v>
      </c>
      <c r="D124" s="2278"/>
      <c r="E124" s="1388">
        <f>Input!$W$143</f>
        <v>0</v>
      </c>
      <c r="F124" s="1387">
        <f>Input!$Z$143</f>
        <v>0</v>
      </c>
      <c r="G124" s="870">
        <f t="shared" ref="G124:G129" si="5">IF(ISERROR((E124-F124)/F124),0,((E124-F124)/F124))</f>
        <v>0</v>
      </c>
      <c r="H124" s="878"/>
      <c r="I124" s="505" t="s">
        <v>1120</v>
      </c>
      <c r="J124" s="2365"/>
      <c r="K124" s="2365"/>
      <c r="L124" s="2366"/>
      <c r="M124" s="2366"/>
      <c r="N124" s="2366"/>
      <c r="O124" s="2366"/>
      <c r="P124" s="2366"/>
      <c r="Q124" s="2366"/>
      <c r="R124" s="2366"/>
      <c r="S124" s="2366"/>
      <c r="T124" s="2366"/>
      <c r="U124" s="2366"/>
      <c r="V124" s="2366"/>
    </row>
    <row r="125" spans="1:24" x14ac:dyDescent="0.45">
      <c r="A125" s="850"/>
      <c r="B125" s="851"/>
      <c r="C125" s="2277" t="str">
        <f t="shared" si="4"/>
        <v>Belanja Lembur</v>
      </c>
      <c r="D125" s="2278"/>
      <c r="E125" s="1388">
        <f>Input!$W$144</f>
        <v>0</v>
      </c>
      <c r="F125" s="1387">
        <f>Input!$Z$144</f>
        <v>15743000</v>
      </c>
      <c r="G125" s="870">
        <f t="shared" si="5"/>
        <v>-1</v>
      </c>
      <c r="H125" s="878"/>
      <c r="I125" s="505" t="s">
        <v>1121</v>
      </c>
      <c r="J125" s="2365"/>
      <c r="K125" s="2365"/>
      <c r="L125" s="2366"/>
      <c r="M125" s="2366"/>
      <c r="N125" s="2366"/>
      <c r="O125" s="2366"/>
      <c r="P125" s="2366"/>
      <c r="Q125" s="2366"/>
      <c r="R125" s="2366"/>
      <c r="S125" s="2366"/>
      <c r="T125" s="2366"/>
      <c r="U125" s="2366"/>
      <c r="V125" s="2366"/>
    </row>
    <row r="126" spans="1:24" x14ac:dyDescent="0.45">
      <c r="A126" s="850"/>
      <c r="B126" s="851"/>
      <c r="C126" s="2277" t="str">
        <f t="shared" si="4"/>
        <v>Belanja Vakasi</v>
      </c>
      <c r="D126" s="2278"/>
      <c r="E126" s="1388">
        <f>Input!$W$145</f>
        <v>0</v>
      </c>
      <c r="F126" s="1387">
        <f>Input!$Z$145</f>
        <v>0</v>
      </c>
      <c r="G126" s="870">
        <f t="shared" si="5"/>
        <v>0</v>
      </c>
      <c r="H126" s="878"/>
      <c r="I126" s="505" t="s">
        <v>1122</v>
      </c>
    </row>
    <row r="127" spans="1:24" x14ac:dyDescent="0.45">
      <c r="A127" s="850"/>
      <c r="B127" s="851"/>
      <c r="C127" s="2448" t="s">
        <v>1842</v>
      </c>
      <c r="D127" s="2448"/>
      <c r="E127" s="1388">
        <f>SUM(E119:E126)</f>
        <v>3316369326</v>
      </c>
      <c r="F127" s="1387">
        <f>SUM(F119:F126)</f>
        <v>3415030435</v>
      </c>
      <c r="G127" s="870">
        <f t="shared" si="5"/>
        <v>-2.8890257606152197E-2</v>
      </c>
      <c r="H127" s="878"/>
    </row>
    <row r="128" spans="1:24" s="492" customFormat="1" x14ac:dyDescent="0.45">
      <c r="A128" s="1362"/>
      <c r="B128" s="1386"/>
      <c r="C128" s="2449" t="s">
        <v>1844</v>
      </c>
      <c r="D128" s="2449"/>
      <c r="E128" s="1388">
        <f>-Input!$W$148</f>
        <v>-2548</v>
      </c>
      <c r="F128" s="1387">
        <f>-Input!$Z$148</f>
        <v>-834</v>
      </c>
      <c r="G128" s="870">
        <f t="shared" si="5"/>
        <v>2.0551558752997603</v>
      </c>
      <c r="H128" s="878"/>
      <c r="I128" s="505"/>
      <c r="J128" s="518"/>
      <c r="K128" s="518"/>
      <c r="L128" s="518"/>
      <c r="M128" s="518"/>
      <c r="N128" s="518"/>
      <c r="O128" s="518"/>
      <c r="P128" s="1364"/>
      <c r="Q128" s="1364"/>
      <c r="R128" s="1364"/>
      <c r="S128" s="1364"/>
      <c r="T128" s="1364"/>
      <c r="U128" s="1364"/>
      <c r="V128" s="1364"/>
      <c r="W128" s="1364"/>
    </row>
    <row r="129" spans="1:25" x14ac:dyDescent="0.45">
      <c r="A129" s="850"/>
      <c r="B129" s="851"/>
      <c r="C129" s="2272" t="s">
        <v>1843</v>
      </c>
      <c r="D129" s="2273"/>
      <c r="E129" s="1385">
        <f>E127+E128</f>
        <v>3316366778</v>
      </c>
      <c r="F129" s="1385">
        <f>F127+F128</f>
        <v>3415029601</v>
      </c>
      <c r="G129" s="897">
        <f t="shared" si="5"/>
        <v>-2.8890766560591228E-2</v>
      </c>
      <c r="H129" s="880"/>
      <c r="J129" s="1003" t="s">
        <v>1123</v>
      </c>
      <c r="K129" s="1004" t="s">
        <v>8</v>
      </c>
      <c r="L129" s="2383" t="s">
        <v>2038</v>
      </c>
      <c r="M129" s="2384"/>
      <c r="N129" s="2384"/>
      <c r="O129" s="2384"/>
      <c r="P129" s="2384"/>
      <c r="Q129" s="2384"/>
      <c r="R129" s="2384"/>
      <c r="S129" s="2384"/>
      <c r="T129" s="2384"/>
      <c r="U129" s="2384"/>
      <c r="V129" s="2385"/>
    </row>
    <row r="130" spans="1:25" ht="46.5" customHeight="1" x14ac:dyDescent="0.45">
      <c r="A130" s="860"/>
      <c r="B130" s="851"/>
      <c r="C130" s="881"/>
      <c r="D130" s="881"/>
      <c r="E130" s="881"/>
      <c r="F130" s="881"/>
      <c r="G130" s="881"/>
      <c r="H130" s="881"/>
    </row>
    <row r="131" spans="1:25" ht="15.75" customHeight="1" x14ac:dyDescent="0.45">
      <c r="A131" s="2267" t="str">
        <f>"Belanja Barang "&amp;TEXT($E$151,"Rp#.##0")</f>
        <v>Belanja Barang Rp6.645.148.395</v>
      </c>
      <c r="B131" s="849"/>
      <c r="C131" s="741" t="s">
        <v>1973</v>
      </c>
      <c r="D131" s="875"/>
      <c r="E131" s="875"/>
      <c r="F131" s="875"/>
      <c r="G131" s="875"/>
      <c r="H131" s="875"/>
      <c r="J131" s="1131" t="s">
        <v>2037</v>
      </c>
      <c r="P131" s="518"/>
      <c r="Q131" s="518"/>
      <c r="R131" s="518"/>
      <c r="S131" s="518"/>
      <c r="T131" s="518"/>
      <c r="U131" s="518"/>
      <c r="V131" s="518"/>
    </row>
    <row r="132" spans="1:25" ht="18.75" customHeight="1" x14ac:dyDescent="0.4">
      <c r="A132" s="2267"/>
      <c r="B132" s="849"/>
      <c r="C132" s="2244" t="str">
        <f>"Realisasi Belanja Barang "&amp;Input!$M$24&amp;" dan "&amp;Input!$M$25&amp;" adalah masing-masing sebesar "&amp;TEXT($E$151,"Rp#.##0")&amp;" dan "&amp;TEXT($F$151,"Rp#.##0")&amp;"."</f>
        <v>Realisasi Belanja Barang 31 Desember 2019 dan 31 Desember 2018 adalah masing-masing sebesar Rp6.645.148.395 dan Rp6.728.308.800.</v>
      </c>
      <c r="D132" s="2244"/>
      <c r="E132" s="2244"/>
      <c r="F132" s="2244"/>
      <c r="G132" s="2244"/>
      <c r="H132" s="2244"/>
      <c r="I132" s="512"/>
      <c r="J132" s="2389" t="s">
        <v>1131</v>
      </c>
      <c r="K132" s="2450" t="s">
        <v>8</v>
      </c>
      <c r="L132" s="2370" t="s">
        <v>2399</v>
      </c>
      <c r="M132" s="2371"/>
      <c r="N132" s="2371"/>
      <c r="O132" s="2371"/>
      <c r="P132" s="2371"/>
      <c r="Q132" s="2371"/>
      <c r="R132" s="2371"/>
      <c r="S132" s="2371"/>
      <c r="T132" s="2371"/>
      <c r="U132" s="2371"/>
      <c r="V132" s="2372"/>
      <c r="Y132" s="335" t="str">
        <f>"Realisasi Belanja Barang per "&amp;Input!$M$24&amp;" dan "&amp;Input!$Y$25&amp;" adalah masing-masing sebesar "&amp;TEXT($E$151,"Rp#.##0")&amp;" dan "&amp;TEXT($F$151,"Rp#.##0")&amp;". Realisasi Belanja Barang TA 2015 mengalami "&amp;IF(E151=F151," Belanja Barang tidak ada perubahan / nihil ",IF(E151&gt;=F151,$L$132,IF(E151&lt;F151,$L$132)))&amp;"."</f>
        <v>Realisasi Belanja Barang per 31 Desember 2019 dan 2018 adalah masing-masing sebesar Rp6.645.148.395 dan Rp6.728.308.800. Realisasi Belanja Barang TA 2015 mengalami Hal ini disebabkan karena adanya penghematan pada perjalan dinas di beberapa kegiatan rutin kantor.</v>
      </c>
    </row>
    <row r="133" spans="1:25" ht="15.75" customHeight="1" x14ac:dyDescent="0.4">
      <c r="A133" s="2267"/>
      <c r="B133" s="849"/>
      <c r="C133" s="2244"/>
      <c r="D133" s="2244"/>
      <c r="E133" s="2244"/>
      <c r="F133" s="2244"/>
      <c r="G133" s="2244"/>
      <c r="H133" s="2244"/>
      <c r="I133" s="512"/>
      <c r="J133" s="2390"/>
      <c r="K133" s="2451"/>
      <c r="L133" s="2373"/>
      <c r="M133" s="2374"/>
      <c r="N133" s="2374"/>
      <c r="O133" s="2374"/>
      <c r="P133" s="2374"/>
      <c r="Q133" s="2374"/>
      <c r="R133" s="2374"/>
      <c r="S133" s="2374"/>
      <c r="T133" s="2374"/>
      <c r="U133" s="2374"/>
      <c r="V133" s="2375"/>
    </row>
    <row r="134" spans="1:25" s="492" customFormat="1" x14ac:dyDescent="0.4">
      <c r="A134" s="2267"/>
      <c r="B134" s="849"/>
      <c r="C134" s="2233" t="str">
        <f>"Realisasi Belanja Barang "&amp;Input!$M$24&amp;" "&amp;IF(E151=F151,$L$129,IF(E151&gt;F151,"mengalami kenaikan "&amp;TEXT($G$151,"0,00%")&amp;" persen dari realisasi belanja barang "&amp;Input!$M$25&amp;". ",IF(E151&lt;F151," mengalami penurunan "&amp;TEXT(-$G$151,"0,00%")&amp;" persen dari realisasi belanja barang "&amp;Input!$M$25&amp;". ")))&amp;IF(E151=F151,"",IF(E151&gt;F151,$L$132,IF(E151&lt;F151,$L$132)))</f>
        <v>Realisasi Belanja Barang 31 Desember 2019  mengalami penurunan 1,24% persen dari realisasi belanja barang 31 Desember 2018. Hal ini disebabkan karena adanya penghematan pada perjalan dinas di beberapa kegiatan rutin kantor</v>
      </c>
      <c r="D134" s="2276"/>
      <c r="E134" s="2276"/>
      <c r="F134" s="2276"/>
      <c r="G134" s="2276"/>
      <c r="H134" s="2276"/>
      <c r="I134" s="512"/>
      <c r="J134" s="2390"/>
      <c r="K134" s="2451"/>
      <c r="L134" s="2373"/>
      <c r="M134" s="2374"/>
      <c r="N134" s="2374"/>
      <c r="O134" s="2374"/>
      <c r="P134" s="2374"/>
      <c r="Q134" s="2374"/>
      <c r="R134" s="2374"/>
      <c r="S134" s="2374"/>
      <c r="T134" s="2374"/>
      <c r="U134" s="2374"/>
      <c r="V134" s="2375"/>
      <c r="W134" s="1090"/>
    </row>
    <row r="135" spans="1:25" ht="67.5" customHeight="1" x14ac:dyDescent="0.4">
      <c r="A135" s="2267"/>
      <c r="B135" s="849"/>
      <c r="C135" s="2276"/>
      <c r="D135" s="2276"/>
      <c r="E135" s="2276"/>
      <c r="F135" s="2276"/>
      <c r="G135" s="2276"/>
      <c r="H135" s="2276"/>
      <c r="I135" s="512"/>
      <c r="J135" s="2390"/>
      <c r="K135" s="2451"/>
      <c r="L135" s="2373"/>
      <c r="M135" s="2374"/>
      <c r="N135" s="2374"/>
      <c r="O135" s="2374"/>
      <c r="P135" s="2374"/>
      <c r="Q135" s="2374"/>
      <c r="R135" s="2374"/>
      <c r="S135" s="2374"/>
      <c r="T135" s="2374"/>
      <c r="U135" s="2374"/>
      <c r="V135" s="2375"/>
    </row>
    <row r="136" spans="1:25" ht="16.5" customHeight="1" x14ac:dyDescent="0.45">
      <c r="A136" s="850"/>
      <c r="B136" s="882"/>
      <c r="C136" s="2338" t="str">
        <f>"Perbandingan Belanja Barang "&amp;Input!$M$24&amp;" dan  "&amp;Input!$M$25</f>
        <v>Perbandingan Belanja Barang 31 Desember 2019 dan  31 Desember 2018</v>
      </c>
      <c r="D136" s="2338"/>
      <c r="E136" s="2338"/>
      <c r="F136" s="2338"/>
      <c r="G136" s="2338"/>
      <c r="H136" s="883"/>
      <c r="J136" s="2390"/>
      <c r="K136" s="2451"/>
      <c r="L136" s="2373"/>
      <c r="M136" s="2374"/>
      <c r="N136" s="2374"/>
      <c r="O136" s="2374"/>
      <c r="P136" s="2374"/>
      <c r="Q136" s="2374"/>
      <c r="R136" s="2374"/>
      <c r="S136" s="2374"/>
      <c r="T136" s="2374"/>
      <c r="U136" s="2374"/>
      <c r="V136" s="2375"/>
    </row>
    <row r="137" spans="1:25" x14ac:dyDescent="0.45">
      <c r="A137" s="850"/>
      <c r="B137" s="882"/>
      <c r="C137" s="2268" t="s">
        <v>45</v>
      </c>
      <c r="D137" s="2269"/>
      <c r="E137" s="840" t="s">
        <v>46</v>
      </c>
      <c r="F137" s="840" t="s">
        <v>46</v>
      </c>
      <c r="G137" s="2283" t="s">
        <v>1785</v>
      </c>
      <c r="H137" s="884"/>
      <c r="J137" s="2390"/>
      <c r="K137" s="2451"/>
      <c r="L137" s="2373"/>
      <c r="M137" s="2374"/>
      <c r="N137" s="2374"/>
      <c r="O137" s="2374"/>
      <c r="P137" s="2374"/>
      <c r="Q137" s="2374"/>
      <c r="R137" s="2374"/>
      <c r="S137" s="2374"/>
      <c r="T137" s="2374"/>
      <c r="U137" s="2374"/>
      <c r="V137" s="2375"/>
    </row>
    <row r="138" spans="1:25" ht="28" x14ac:dyDescent="0.45">
      <c r="A138" s="850"/>
      <c r="B138" s="882"/>
      <c r="C138" s="2270"/>
      <c r="D138" s="2271"/>
      <c r="E138" s="841" t="str">
        <f>Input!$M$24</f>
        <v>31 Desember 2019</v>
      </c>
      <c r="F138" s="841" t="str">
        <f>Input!$M$25</f>
        <v>31 Desember 2018</v>
      </c>
      <c r="G138" s="2284"/>
      <c r="H138" s="884"/>
      <c r="J138" s="2390"/>
      <c r="K138" s="2451"/>
      <c r="L138" s="2373"/>
      <c r="M138" s="2374"/>
      <c r="N138" s="2374"/>
      <c r="O138" s="2374"/>
      <c r="P138" s="2374"/>
      <c r="Q138" s="2374"/>
      <c r="R138" s="2374"/>
      <c r="S138" s="2374"/>
      <c r="T138" s="2374"/>
      <c r="U138" s="2374"/>
      <c r="V138" s="2375"/>
    </row>
    <row r="139" spans="1:25" x14ac:dyDescent="0.45">
      <c r="A139" s="850"/>
      <c r="B139" s="882"/>
      <c r="C139" s="2274" t="s">
        <v>128</v>
      </c>
      <c r="D139" s="2275"/>
      <c r="E139" s="1388">
        <f>Input!$W$225</f>
        <v>677709695</v>
      </c>
      <c r="F139" s="1387">
        <f>Input!$Z$225</f>
        <v>627651300</v>
      </c>
      <c r="G139" s="870">
        <f>IF(ISERROR((E139-F139)/F139),0,((E139-F139)/F139))</f>
        <v>7.9755104466444987E-2</v>
      </c>
      <c r="H139" s="885"/>
      <c r="J139" s="2390"/>
      <c r="K139" s="2451"/>
      <c r="L139" s="2373"/>
      <c r="M139" s="2374"/>
      <c r="N139" s="2374"/>
      <c r="O139" s="2374"/>
      <c r="P139" s="2374"/>
      <c r="Q139" s="2374"/>
      <c r="R139" s="2374"/>
      <c r="S139" s="2374"/>
      <c r="T139" s="2374"/>
      <c r="U139" s="2374"/>
      <c r="V139" s="2375"/>
    </row>
    <row r="140" spans="1:25" x14ac:dyDescent="0.45">
      <c r="A140" s="850"/>
      <c r="B140" s="882"/>
      <c r="C140" s="2274" t="s">
        <v>129</v>
      </c>
      <c r="D140" s="2275"/>
      <c r="E140" s="1388">
        <f>Input!$W$226</f>
        <v>1172315300</v>
      </c>
      <c r="F140" s="1387">
        <f>Input!$Z$226</f>
        <v>1624625000</v>
      </c>
      <c r="G140" s="870">
        <f t="shared" ref="G140:G151" si="6">IF(ISERROR((E140-F140)/F140),0,((E140-F140)/F140))</f>
        <v>-0.27840867892590598</v>
      </c>
      <c r="H140" s="885"/>
      <c r="J140" s="2390"/>
      <c r="K140" s="2451"/>
      <c r="L140" s="2373"/>
      <c r="M140" s="2374"/>
      <c r="N140" s="2374"/>
      <c r="O140" s="2374"/>
      <c r="P140" s="2374"/>
      <c r="Q140" s="2374"/>
      <c r="R140" s="2374"/>
      <c r="S140" s="2374"/>
      <c r="T140" s="2374"/>
      <c r="U140" s="2374"/>
      <c r="V140" s="2375"/>
    </row>
    <row r="141" spans="1:25" s="437" customFormat="1" ht="30.75" customHeight="1" x14ac:dyDescent="0.3">
      <c r="A141" s="850"/>
      <c r="B141" s="886"/>
      <c r="C141" s="2339" t="s">
        <v>1103</v>
      </c>
      <c r="D141" s="2275"/>
      <c r="E141" s="1388">
        <f>Input!$W$227</f>
        <v>0</v>
      </c>
      <c r="F141" s="1387">
        <f>Input!$Z$227</f>
        <v>0</v>
      </c>
      <c r="G141" s="870">
        <f t="shared" si="6"/>
        <v>0</v>
      </c>
      <c r="H141" s="887"/>
      <c r="I141" s="511"/>
      <c r="J141" s="2391"/>
      <c r="K141" s="2452"/>
      <c r="L141" s="2376"/>
      <c r="M141" s="2377"/>
      <c r="N141" s="2377"/>
      <c r="O141" s="2377"/>
      <c r="P141" s="2377"/>
      <c r="Q141" s="2377"/>
      <c r="R141" s="2377"/>
      <c r="S141" s="2377"/>
      <c r="T141" s="2377"/>
      <c r="U141" s="2377"/>
      <c r="V141" s="2378"/>
      <c r="W141" s="528"/>
    </row>
    <row r="142" spans="1:25" ht="33.75" customHeight="1" x14ac:dyDescent="0.45">
      <c r="A142" s="850"/>
      <c r="B142" s="882"/>
      <c r="C142" s="2281" t="s">
        <v>1104</v>
      </c>
      <c r="D142" s="2282"/>
      <c r="E142" s="1388">
        <f>Input!$W$228</f>
        <v>0</v>
      </c>
      <c r="F142" s="1387">
        <f>Input!$Z$228</f>
        <v>0</v>
      </c>
      <c r="G142" s="870">
        <f t="shared" si="6"/>
        <v>0</v>
      </c>
      <c r="H142" s="885"/>
      <c r="J142" s="2365"/>
      <c r="K142" s="2365"/>
      <c r="L142" s="2366"/>
      <c r="M142" s="2366"/>
      <c r="N142" s="2366"/>
      <c r="O142" s="2366"/>
      <c r="P142" s="2366"/>
      <c r="Q142" s="2366"/>
      <c r="R142" s="2366"/>
      <c r="S142" s="2366"/>
      <c r="T142" s="2366"/>
      <c r="U142" s="2366"/>
      <c r="V142" s="2366"/>
    </row>
    <row r="143" spans="1:25" s="492" customFormat="1" x14ac:dyDescent="0.45">
      <c r="A143" s="1143"/>
      <c r="B143" s="882"/>
      <c r="C143" s="2274" t="s">
        <v>2054</v>
      </c>
      <c r="D143" s="2275"/>
      <c r="E143" s="1388">
        <f>Input!$W$231</f>
        <v>411140900</v>
      </c>
      <c r="F143" s="1387">
        <f>Input!$Z$231</f>
        <v>44676900</v>
      </c>
      <c r="G143" s="870">
        <f t="shared" ref="G143" si="7">IF(ISERROR((E143-F143)/F143),0,((E143-F143)/F143))</f>
        <v>8.2025386721101956</v>
      </c>
      <c r="H143" s="885"/>
      <c r="I143" s="505"/>
      <c r="J143" s="2365"/>
      <c r="K143" s="2365"/>
      <c r="L143" s="2366"/>
      <c r="M143" s="2366"/>
      <c r="N143" s="2366"/>
      <c r="O143" s="2366"/>
      <c r="P143" s="2366"/>
      <c r="Q143" s="2366"/>
      <c r="R143" s="2366"/>
      <c r="S143" s="2366"/>
      <c r="T143" s="2366"/>
      <c r="U143" s="2366"/>
      <c r="V143" s="2366"/>
      <c r="W143" s="1144"/>
    </row>
    <row r="144" spans="1:25" x14ac:dyDescent="0.45">
      <c r="A144" s="850"/>
      <c r="B144" s="882"/>
      <c r="C144" s="2274" t="s">
        <v>130</v>
      </c>
      <c r="D144" s="2275"/>
      <c r="E144" s="1388">
        <f>Input!$W$229</f>
        <v>782659600</v>
      </c>
      <c r="F144" s="1387">
        <f>Input!$Z$229</f>
        <v>691962300</v>
      </c>
      <c r="G144" s="870">
        <f t="shared" si="6"/>
        <v>0.13107260323286399</v>
      </c>
      <c r="H144" s="885"/>
      <c r="J144" s="2365"/>
      <c r="K144" s="2365"/>
      <c r="L144" s="2366"/>
      <c r="M144" s="2366"/>
      <c r="N144" s="2366"/>
      <c r="O144" s="2366"/>
      <c r="P144" s="2366"/>
      <c r="Q144" s="2366"/>
      <c r="R144" s="2366"/>
      <c r="S144" s="2366"/>
      <c r="T144" s="2366"/>
      <c r="U144" s="2366"/>
      <c r="V144" s="2366"/>
    </row>
    <row r="145" spans="1:25" x14ac:dyDescent="0.45">
      <c r="A145" s="850"/>
      <c r="B145" s="882"/>
      <c r="C145" s="2274" t="s">
        <v>119</v>
      </c>
      <c r="D145" s="2275"/>
      <c r="E145" s="1388">
        <f>Input!$W$230</f>
        <v>625913650</v>
      </c>
      <c r="F145" s="1387">
        <f>Input!$Z$230</f>
        <v>722817400</v>
      </c>
      <c r="G145" s="870">
        <f t="shared" si="6"/>
        <v>-0.13406394201357077</v>
      </c>
      <c r="H145" s="885"/>
      <c r="J145" s="2365"/>
      <c r="K145" s="2365"/>
      <c r="L145" s="2366"/>
      <c r="M145" s="2366"/>
      <c r="N145" s="2366"/>
      <c r="O145" s="2366"/>
      <c r="P145" s="2366"/>
      <c r="Q145" s="2366"/>
      <c r="R145" s="2366"/>
      <c r="S145" s="2366"/>
      <c r="T145" s="2366"/>
      <c r="U145" s="2366"/>
      <c r="V145" s="2366"/>
    </row>
    <row r="146" spans="1:25" x14ac:dyDescent="0.45">
      <c r="A146" s="850"/>
      <c r="B146" s="882"/>
      <c r="C146" s="2274" t="s">
        <v>120</v>
      </c>
      <c r="D146" s="2275"/>
      <c r="E146" s="1388">
        <f>Input!$W$232</f>
        <v>2755409250</v>
      </c>
      <c r="F146" s="1387">
        <f>Input!$Z$232</f>
        <v>2786385900</v>
      </c>
      <c r="G146" s="870">
        <f t="shared" si="6"/>
        <v>-1.1117142819305826E-2</v>
      </c>
      <c r="H146" s="885"/>
      <c r="J146" s="2365"/>
      <c r="K146" s="2365"/>
      <c r="L146" s="2366"/>
      <c r="M146" s="2366"/>
      <c r="N146" s="2366"/>
      <c r="O146" s="2366"/>
      <c r="P146" s="2366"/>
      <c r="Q146" s="2366"/>
      <c r="R146" s="2366"/>
      <c r="S146" s="2366"/>
      <c r="T146" s="2366"/>
      <c r="U146" s="2366"/>
      <c r="V146" s="2366"/>
    </row>
    <row r="147" spans="1:25" x14ac:dyDescent="0.45">
      <c r="A147" s="850"/>
      <c r="B147" s="882"/>
      <c r="C147" s="2274" t="s">
        <v>1105</v>
      </c>
      <c r="D147" s="2275"/>
      <c r="E147" s="1388">
        <f>Input!$W$233</f>
        <v>0</v>
      </c>
      <c r="F147" s="1387">
        <f>Input!$Z$233</f>
        <v>0</v>
      </c>
      <c r="G147" s="870">
        <f t="shared" si="6"/>
        <v>0</v>
      </c>
      <c r="H147" s="885"/>
      <c r="J147" s="2365"/>
      <c r="K147" s="2365"/>
      <c r="L147" s="2366"/>
      <c r="M147" s="2366"/>
      <c r="N147" s="2366"/>
      <c r="O147" s="2366"/>
      <c r="P147" s="2366"/>
      <c r="Q147" s="2366"/>
      <c r="R147" s="2366"/>
      <c r="S147" s="2366"/>
      <c r="T147" s="2366"/>
      <c r="U147" s="2366"/>
      <c r="V147" s="2366"/>
    </row>
    <row r="148" spans="1:25" ht="30.75" customHeight="1" x14ac:dyDescent="0.45">
      <c r="A148" s="850"/>
      <c r="B148" s="882"/>
      <c r="C148" s="2339" t="s">
        <v>1106</v>
      </c>
      <c r="D148" s="2275"/>
      <c r="E148" s="1388">
        <f>Input!$W$234</f>
        <v>220000000</v>
      </c>
      <c r="F148" s="1387">
        <f>Input!$Z$234</f>
        <v>230190000</v>
      </c>
      <c r="G148" s="870">
        <f t="shared" si="6"/>
        <v>-4.4267778791433163E-2</v>
      </c>
      <c r="H148" s="887"/>
    </row>
    <row r="149" spans="1:25" x14ac:dyDescent="0.45">
      <c r="A149" s="850"/>
      <c r="B149" s="882"/>
      <c r="C149" s="2332" t="s">
        <v>1845</v>
      </c>
      <c r="D149" s="2333"/>
      <c r="E149" s="1388">
        <f>SUM(E139:E148)</f>
        <v>6645148395</v>
      </c>
      <c r="F149" s="1387">
        <f>SUM(F139:F148)</f>
        <v>6728308800</v>
      </c>
      <c r="G149" s="870">
        <f t="shared" si="6"/>
        <v>-1.2359778284849233E-2</v>
      </c>
      <c r="H149" s="888"/>
    </row>
    <row r="150" spans="1:25" x14ac:dyDescent="0.45">
      <c r="A150" s="850"/>
      <c r="B150" s="882"/>
      <c r="C150" s="2340" t="s">
        <v>118</v>
      </c>
      <c r="D150" s="2341"/>
      <c r="E150" s="1388">
        <f>-Input!$W$236</f>
        <v>0</v>
      </c>
      <c r="F150" s="1387">
        <f>-Input!$Z$236</f>
        <v>0</v>
      </c>
      <c r="G150" s="870">
        <f t="shared" si="6"/>
        <v>0</v>
      </c>
      <c r="H150" s="889"/>
    </row>
    <row r="151" spans="1:25" x14ac:dyDescent="0.45">
      <c r="A151" s="850"/>
      <c r="B151" s="882"/>
      <c r="C151" s="2272" t="s">
        <v>1843</v>
      </c>
      <c r="D151" s="2273"/>
      <c r="E151" s="1385">
        <f>E149+E150</f>
        <v>6645148395</v>
      </c>
      <c r="F151" s="1385">
        <f>F149+F150</f>
        <v>6728308800</v>
      </c>
      <c r="G151" s="1132">
        <f t="shared" si="6"/>
        <v>-1.2359778284849233E-2</v>
      </c>
      <c r="H151" s="888"/>
    </row>
    <row r="152" spans="1:25" ht="30" customHeight="1" x14ac:dyDescent="0.45">
      <c r="A152" s="860"/>
      <c r="B152" s="890"/>
      <c r="C152" s="891"/>
      <c r="D152" s="891"/>
      <c r="E152" s="891"/>
      <c r="F152" s="891"/>
      <c r="G152" s="891"/>
      <c r="H152" s="892"/>
    </row>
    <row r="153" spans="1:25" ht="15.75" customHeight="1" x14ac:dyDescent="0.45">
      <c r="A153" s="2259" t="str">
        <f>"Belanja Modal "&amp;TEXT($E$171,"Rp#.##0")</f>
        <v>Belanja Modal Rp1.470.129.550</v>
      </c>
      <c r="B153" s="890"/>
      <c r="C153" s="741" t="s">
        <v>1974</v>
      </c>
      <c r="D153" s="875"/>
      <c r="E153" s="875"/>
      <c r="F153" s="875"/>
      <c r="G153" s="875"/>
      <c r="H153" s="875"/>
      <c r="J153" s="335"/>
      <c r="K153" s="1091"/>
      <c r="L153" s="1091"/>
      <c r="M153" s="1091"/>
      <c r="N153" s="1091"/>
      <c r="O153" s="1091"/>
      <c r="P153" s="1091"/>
      <c r="Q153" s="1091"/>
      <c r="R153" s="1091"/>
      <c r="S153" s="1091"/>
      <c r="T153" s="1091"/>
      <c r="U153" s="1091"/>
      <c r="V153" s="1091"/>
    </row>
    <row r="154" spans="1:25" ht="18.75" customHeight="1" x14ac:dyDescent="0.4">
      <c r="A154" s="2362"/>
      <c r="B154" s="849"/>
      <c r="C154" s="2192" t="str">
        <f>"Realisasi Belanja Modal "&amp;Input!$M$24&amp;" dan "&amp;Input!$M$25&amp;" adalah masing-masing sebesar "&amp;TEXT($E$171,"Rp#.##0")&amp;" dan "&amp;TEXT($F$171,"Rp#.##0")&amp;". Belanja modal merupakan pengeluaran anggaran untuk perolehan aset tetap dan aset lainnya yang memberi manfaat lebih dari satu periode akuntansi."</f>
        <v>Realisasi Belanja Modal 31 Desember 2019 dan 31 Desember 2018 adalah masing-masing sebesar Rp1.470.129.550 dan Rp1.357.557.649. Belanja modal merupakan pengeluaran anggaran untuk perolehan aset tetap dan aset lainnya yang memberi manfaat lebih dari satu periode akuntansi.</v>
      </c>
      <c r="D154" s="2192"/>
      <c r="E154" s="2192"/>
      <c r="F154" s="2192"/>
      <c r="G154" s="2192"/>
      <c r="H154" s="2192"/>
      <c r="I154" s="511"/>
      <c r="J154" s="335"/>
      <c r="K154" s="335"/>
      <c r="L154" s="335"/>
      <c r="M154" s="335"/>
      <c r="N154" s="335"/>
      <c r="O154" s="335"/>
      <c r="P154" s="335"/>
      <c r="Q154" s="335"/>
      <c r="R154" s="335"/>
      <c r="S154" s="335"/>
      <c r="T154" s="335"/>
      <c r="U154" s="335"/>
      <c r="V154" s="335"/>
    </row>
    <row r="155" spans="1:25" x14ac:dyDescent="0.45">
      <c r="A155" s="2362"/>
      <c r="B155" s="849"/>
      <c r="C155" s="2192"/>
      <c r="D155" s="2192"/>
      <c r="E155" s="2192"/>
      <c r="F155" s="2192"/>
      <c r="G155" s="2192"/>
      <c r="H155" s="2192"/>
      <c r="J155" s="1003" t="s">
        <v>1123</v>
      </c>
      <c r="K155" s="1004" t="s">
        <v>8</v>
      </c>
      <c r="L155" s="2383" t="s">
        <v>2038</v>
      </c>
      <c r="M155" s="2384"/>
      <c r="N155" s="2384"/>
      <c r="O155" s="2384"/>
      <c r="P155" s="2384"/>
      <c r="Q155" s="2384"/>
      <c r="R155" s="2384"/>
      <c r="S155" s="2384"/>
      <c r="T155" s="2384"/>
      <c r="U155" s="2384"/>
      <c r="V155" s="2385"/>
    </row>
    <row r="156" spans="1:25" ht="38.25" customHeight="1" x14ac:dyDescent="0.45">
      <c r="A156" s="1049"/>
      <c r="B156" s="849"/>
      <c r="C156" s="2192"/>
      <c r="D156" s="2192"/>
      <c r="E156" s="2192"/>
      <c r="F156" s="2192"/>
      <c r="G156" s="2192"/>
      <c r="H156" s="2192"/>
      <c r="J156" s="335"/>
      <c r="K156" s="335"/>
      <c r="L156" s="335"/>
      <c r="M156" s="335"/>
      <c r="N156" s="335"/>
      <c r="O156" s="335"/>
      <c r="P156" s="335"/>
      <c r="Q156" s="335"/>
      <c r="R156" s="335"/>
      <c r="S156" s="335"/>
      <c r="T156" s="335"/>
      <c r="U156" s="335"/>
      <c r="V156" s="335"/>
    </row>
    <row r="157" spans="1:25" s="492" customFormat="1" ht="7.5" customHeight="1" x14ac:dyDescent="0.45">
      <c r="A157" s="1049"/>
      <c r="B157" s="849"/>
      <c r="C157" s="1047"/>
      <c r="D157" s="1047"/>
      <c r="E157" s="1047"/>
      <c r="F157" s="1047"/>
      <c r="G157" s="1047"/>
      <c r="H157" s="1047"/>
      <c r="I157" s="505"/>
      <c r="W157" s="1048"/>
    </row>
    <row r="158" spans="1:25" s="492" customFormat="1" x14ac:dyDescent="0.45">
      <c r="A158" s="1049"/>
      <c r="B158" s="849"/>
      <c r="C158" s="2233" t="str">
        <f>"Realisasi Belanja Modal pada "&amp;Input!$M$24&amp;" "&amp;IF(E171=F171,$L$155,IF(E171&gt;F171,"mengalami kenaikan "&amp;TEXT($G$171,"0,00%")&amp;" persen dibandingkan "&amp;Input!$M$25&amp;". ",IF(E171&lt;F171," mengalami penurunan "&amp;TEXT(-$G$171,"0,00%")&amp;" persen dibandingkan "&amp;Input!$M$25&amp;". ")))&amp;IF(E171=F171,"",IF(E171&gt;F171,$L$159,IF(E171&lt;F171,$L$159)))</f>
        <v>Realisasi Belanja Modal pada 31 Desember 2019 mengalami kenaikan 8,29% persen dibandingkan 31 Desember 2018. Hal ini disebabkan karena ada pembelian peralatan mesin seperti Laptop sebanyak 5 buah, scanner 2 buah, pc desktop sebanyak 2 buah, Drone 2 buah, mesin penghancur kertas 2 buah, Pembuatan sekat ruangan, renovasi tembok kantor</v>
      </c>
      <c r="D158" s="2276"/>
      <c r="E158" s="2276"/>
      <c r="F158" s="2276"/>
      <c r="G158" s="2276"/>
      <c r="H158" s="2276"/>
      <c r="I158" s="505"/>
      <c r="J158" s="2447" t="s">
        <v>2010</v>
      </c>
      <c r="K158" s="2447"/>
      <c r="L158" s="2447"/>
      <c r="M158" s="2447"/>
      <c r="N158" s="2447"/>
      <c r="O158" s="2447"/>
      <c r="P158" s="2447"/>
      <c r="Q158" s="2447"/>
      <c r="R158" s="2447"/>
      <c r="S158" s="2447"/>
      <c r="T158" s="2447"/>
      <c r="U158" s="2447"/>
      <c r="V158" s="2447"/>
      <c r="W158" s="755"/>
      <c r="Y158" s="492" t="str">
        <f>"Realisasi Belanja Modal pada "&amp;Input!$M$24&amp;". "&amp;IF(E171=F171," Belanja Modal tidak ada perubahan / Nihil ",IF(E171&gt;=F171,$L$159,IF(E171&lt;F171,$L$159)))</f>
        <v>Realisasi Belanja Modal pada 31 Desember 2019. Hal ini disebabkan karena ada pembelian peralatan mesin seperti Laptop sebanyak 5 buah, scanner 2 buah, pc desktop sebanyak 2 buah, Drone 2 buah, mesin penghancur kertas 2 buah, Pembuatan sekat ruangan, renovasi tembok kantor</v>
      </c>
    </row>
    <row r="159" spans="1:25" s="492" customFormat="1" x14ac:dyDescent="0.45">
      <c r="A159" s="1049"/>
      <c r="B159" s="849"/>
      <c r="C159" s="2233"/>
      <c r="D159" s="2276"/>
      <c r="E159" s="2276"/>
      <c r="F159" s="2276"/>
      <c r="G159" s="2276"/>
      <c r="H159" s="2276"/>
      <c r="I159" s="505"/>
      <c r="J159" s="2389" t="s">
        <v>1131</v>
      </c>
      <c r="K159" s="2415" t="s">
        <v>8</v>
      </c>
      <c r="L159" s="2438" t="s">
        <v>2400</v>
      </c>
      <c r="M159" s="2439"/>
      <c r="N159" s="2439"/>
      <c r="O159" s="2439"/>
      <c r="P159" s="2439"/>
      <c r="Q159" s="2439"/>
      <c r="R159" s="2439"/>
      <c r="S159" s="2439"/>
      <c r="T159" s="2439"/>
      <c r="U159" s="2439"/>
      <c r="V159" s="2440"/>
      <c r="W159" s="1048"/>
    </row>
    <row r="160" spans="1:25" ht="34.5" customHeight="1" x14ac:dyDescent="0.45">
      <c r="A160" s="1049"/>
      <c r="B160" s="849"/>
      <c r="C160" s="2276"/>
      <c r="D160" s="2276"/>
      <c r="E160" s="2276"/>
      <c r="F160" s="2276"/>
      <c r="G160" s="2276"/>
      <c r="H160" s="2276"/>
      <c r="J160" s="2390"/>
      <c r="K160" s="2416"/>
      <c r="L160" s="2441"/>
      <c r="M160" s="2442"/>
      <c r="N160" s="2442"/>
      <c r="O160" s="2442"/>
      <c r="P160" s="2442"/>
      <c r="Q160" s="2442"/>
      <c r="R160" s="2442"/>
      <c r="S160" s="2442"/>
      <c r="T160" s="2442"/>
      <c r="U160" s="2442"/>
      <c r="V160" s="2443"/>
    </row>
    <row r="161" spans="1:23" ht="15.75" customHeight="1" x14ac:dyDescent="0.45">
      <c r="A161" s="894"/>
      <c r="B161" s="849"/>
      <c r="C161" s="2338" t="str">
        <f>"Perbandingan Belanja Modal "&amp;Input!$M$24&amp;" dan  "&amp;Input!$M$25</f>
        <v>Perbandingan Belanja Modal 31 Desember 2019 dan  31 Desember 2018</v>
      </c>
      <c r="D161" s="2338"/>
      <c r="E161" s="2338"/>
      <c r="F161" s="2338"/>
      <c r="G161" s="2338"/>
      <c r="H161" s="893"/>
      <c r="J161" s="2390"/>
      <c r="K161" s="2416"/>
      <c r="L161" s="2441"/>
      <c r="M161" s="2442"/>
      <c r="N161" s="2442"/>
      <c r="O161" s="2442"/>
      <c r="P161" s="2442"/>
      <c r="Q161" s="2442"/>
      <c r="R161" s="2442"/>
      <c r="S161" s="2442"/>
      <c r="T161" s="2442"/>
      <c r="U161" s="2442"/>
      <c r="V161" s="2443"/>
    </row>
    <row r="162" spans="1:23" x14ac:dyDescent="0.45">
      <c r="A162" s="894"/>
      <c r="B162" s="849"/>
      <c r="C162" s="2268" t="s">
        <v>45</v>
      </c>
      <c r="D162" s="2269"/>
      <c r="E162" s="840" t="s">
        <v>46</v>
      </c>
      <c r="F162" s="840" t="s">
        <v>46</v>
      </c>
      <c r="G162" s="2283" t="s">
        <v>1785</v>
      </c>
      <c r="H162" s="893"/>
      <c r="J162" s="2390"/>
      <c r="K162" s="2416"/>
      <c r="L162" s="2441"/>
      <c r="M162" s="2442"/>
      <c r="N162" s="2442"/>
      <c r="O162" s="2442"/>
      <c r="P162" s="2442"/>
      <c r="Q162" s="2442"/>
      <c r="R162" s="2442"/>
      <c r="S162" s="2442"/>
      <c r="T162" s="2442"/>
      <c r="U162" s="2442"/>
      <c r="V162" s="2443"/>
    </row>
    <row r="163" spans="1:23" ht="28" x14ac:dyDescent="0.45">
      <c r="A163" s="894"/>
      <c r="B163" s="849"/>
      <c r="C163" s="2270"/>
      <c r="D163" s="2271"/>
      <c r="E163" s="841" t="str">
        <f>Input!$M$24</f>
        <v>31 Desember 2019</v>
      </c>
      <c r="F163" s="841" t="str">
        <f>Input!$M$25</f>
        <v>31 Desember 2018</v>
      </c>
      <c r="G163" s="2284"/>
      <c r="H163" s="893"/>
      <c r="J163" s="2390"/>
      <c r="K163" s="2416"/>
      <c r="L163" s="2441"/>
      <c r="M163" s="2442"/>
      <c r="N163" s="2442"/>
      <c r="O163" s="2442"/>
      <c r="P163" s="2442"/>
      <c r="Q163" s="2442"/>
      <c r="R163" s="2442"/>
      <c r="S163" s="2442"/>
      <c r="T163" s="2442"/>
      <c r="U163" s="2442"/>
      <c r="V163" s="2443"/>
    </row>
    <row r="164" spans="1:23" ht="15.75" customHeight="1" x14ac:dyDescent="0.45">
      <c r="A164" s="894"/>
      <c r="B164" s="849"/>
      <c r="C164" s="2279" t="s">
        <v>121</v>
      </c>
      <c r="D164" s="2280"/>
      <c r="E164" s="1388">
        <f>Input!D398</f>
        <v>0</v>
      </c>
      <c r="F164" s="1387">
        <f>Input!Z387</f>
        <v>0</v>
      </c>
      <c r="G164" s="870">
        <f t="shared" ref="G164:G171" si="8">IF(ISERROR((E164-F164)/F164),0,((E164-F164)/F164))</f>
        <v>0</v>
      </c>
      <c r="H164" s="893"/>
      <c r="I164" s="513"/>
      <c r="J164" s="2390"/>
      <c r="K164" s="2416"/>
      <c r="L164" s="2441"/>
      <c r="M164" s="2442"/>
      <c r="N164" s="2442"/>
      <c r="O164" s="2442"/>
      <c r="P164" s="2442"/>
      <c r="Q164" s="2442"/>
      <c r="R164" s="2442"/>
      <c r="S164" s="2442"/>
      <c r="T164" s="2442"/>
      <c r="U164" s="2442"/>
      <c r="V164" s="2443"/>
    </row>
    <row r="165" spans="1:23" s="492" customFormat="1" ht="15.75" customHeight="1" x14ac:dyDescent="0.45">
      <c r="A165" s="894"/>
      <c r="B165" s="849"/>
      <c r="C165" s="2279" t="s">
        <v>1975</v>
      </c>
      <c r="D165" s="2280"/>
      <c r="E165" s="1388">
        <f>Input!D414</f>
        <v>933466500</v>
      </c>
      <c r="F165" s="1387">
        <f>Input!Z388</f>
        <v>616795500</v>
      </c>
      <c r="G165" s="870">
        <f t="shared" si="8"/>
        <v>0.51341327879337639</v>
      </c>
      <c r="H165" s="893"/>
      <c r="I165" s="513"/>
      <c r="J165" s="2390"/>
      <c r="K165" s="2416"/>
      <c r="L165" s="2441"/>
      <c r="M165" s="2442"/>
      <c r="N165" s="2442"/>
      <c r="O165" s="2442"/>
      <c r="P165" s="2442"/>
      <c r="Q165" s="2442"/>
      <c r="R165" s="2442"/>
      <c r="S165" s="2442"/>
      <c r="T165" s="2442"/>
      <c r="U165" s="2442"/>
      <c r="V165" s="2443"/>
      <c r="W165" s="755"/>
    </row>
    <row r="166" spans="1:23" s="492" customFormat="1" ht="15.75" customHeight="1" x14ac:dyDescent="0.45">
      <c r="A166" s="894"/>
      <c r="B166" s="849"/>
      <c r="C166" s="2279" t="s">
        <v>1976</v>
      </c>
      <c r="D166" s="2280"/>
      <c r="E166" s="1388">
        <f>Input!D430</f>
        <v>536663050</v>
      </c>
      <c r="F166" s="1387">
        <f>Input!Z389</f>
        <v>740762149</v>
      </c>
      <c r="G166" s="870">
        <f t="shared" si="8"/>
        <v>-0.27552582063692888</v>
      </c>
      <c r="H166" s="893"/>
      <c r="I166" s="513"/>
      <c r="J166" s="2390"/>
      <c r="K166" s="2416"/>
      <c r="L166" s="2441"/>
      <c r="M166" s="2442"/>
      <c r="N166" s="2442"/>
      <c r="O166" s="2442"/>
      <c r="P166" s="2442"/>
      <c r="Q166" s="2442"/>
      <c r="R166" s="2442"/>
      <c r="S166" s="2442"/>
      <c r="T166" s="2442"/>
      <c r="U166" s="2442"/>
      <c r="V166" s="2443"/>
      <c r="W166" s="755"/>
    </row>
    <row r="167" spans="1:23" s="492" customFormat="1" ht="15.75" customHeight="1" x14ac:dyDescent="0.45">
      <c r="A167" s="894"/>
      <c r="B167" s="849"/>
      <c r="C167" s="2279" t="s">
        <v>1977</v>
      </c>
      <c r="D167" s="2280"/>
      <c r="E167" s="1388">
        <f>Input!D444+Input!D458+Input!D472</f>
        <v>0</v>
      </c>
      <c r="F167" s="1387">
        <f>Input!Z390+Input!Z391+Input!Z392</f>
        <v>0</v>
      </c>
      <c r="G167" s="870">
        <f t="shared" si="8"/>
        <v>0</v>
      </c>
      <c r="H167" s="893"/>
      <c r="I167" s="513"/>
      <c r="J167" s="2391"/>
      <c r="K167" s="2417"/>
      <c r="L167" s="2444"/>
      <c r="M167" s="2445"/>
      <c r="N167" s="2445"/>
      <c r="O167" s="2445"/>
      <c r="P167" s="2445"/>
      <c r="Q167" s="2445"/>
      <c r="R167" s="2445"/>
      <c r="S167" s="2445"/>
      <c r="T167" s="2445"/>
      <c r="U167" s="2445"/>
      <c r="V167" s="2446"/>
      <c r="W167" s="755"/>
    </row>
    <row r="168" spans="1:23" s="492" customFormat="1" ht="15.75" customHeight="1" x14ac:dyDescent="0.45">
      <c r="A168" s="894"/>
      <c r="B168" s="849"/>
      <c r="C168" s="2279" t="s">
        <v>1672</v>
      </c>
      <c r="D168" s="2280"/>
      <c r="E168" s="1388">
        <f>Input!W393</f>
        <v>0</v>
      </c>
      <c r="F168" s="1387">
        <f>Input!Z393</f>
        <v>0</v>
      </c>
      <c r="G168" s="870">
        <f t="shared" si="8"/>
        <v>0</v>
      </c>
      <c r="H168" s="893"/>
      <c r="I168" s="513"/>
      <c r="W168" s="755"/>
    </row>
    <row r="169" spans="1:23" ht="15.75" customHeight="1" x14ac:dyDescent="0.45">
      <c r="A169" s="894"/>
      <c r="B169" s="849"/>
      <c r="C169" s="2332" t="s">
        <v>1845</v>
      </c>
      <c r="D169" s="2333"/>
      <c r="E169" s="1388">
        <f>SUM(E164:E168)</f>
        <v>1470129550</v>
      </c>
      <c r="F169" s="1387">
        <f>SUM(F164:F168)</f>
        <v>1357557649</v>
      </c>
      <c r="G169" s="870">
        <f t="shared" si="8"/>
        <v>8.2922372455359356E-2</v>
      </c>
      <c r="H169" s="893"/>
      <c r="J169" s="529"/>
      <c r="K169" s="529"/>
      <c r="L169" s="529"/>
      <c r="M169" s="529"/>
      <c r="N169" s="529"/>
      <c r="O169" s="529"/>
      <c r="P169" s="530"/>
      <c r="Q169" s="530"/>
      <c r="R169" s="530"/>
      <c r="S169" s="530"/>
      <c r="T169" s="530"/>
      <c r="U169" s="530"/>
      <c r="V169" s="530"/>
    </row>
    <row r="170" spans="1:23" ht="15.75" customHeight="1" x14ac:dyDescent="0.45">
      <c r="A170" s="894"/>
      <c r="B170" s="849"/>
      <c r="C170" s="2334" t="s">
        <v>118</v>
      </c>
      <c r="D170" s="2335"/>
      <c r="E170" s="1388">
        <f>-Input!W397</f>
        <v>0</v>
      </c>
      <c r="F170" s="1387">
        <f>-Input!Z397</f>
        <v>0</v>
      </c>
      <c r="G170" s="870">
        <f t="shared" si="8"/>
        <v>0</v>
      </c>
      <c r="H170" s="893"/>
      <c r="J170" s="529"/>
      <c r="K170" s="529"/>
      <c r="L170" s="529"/>
      <c r="M170" s="529"/>
      <c r="N170" s="529"/>
      <c r="O170" s="529"/>
      <c r="P170" s="530"/>
      <c r="Q170" s="530"/>
      <c r="R170" s="530"/>
      <c r="S170" s="530"/>
      <c r="T170" s="530"/>
      <c r="U170" s="530"/>
      <c r="V170" s="530"/>
    </row>
    <row r="171" spans="1:23" ht="15.75" customHeight="1" x14ac:dyDescent="0.45">
      <c r="A171" s="894"/>
      <c r="B171" s="849"/>
      <c r="C171" s="2272" t="s">
        <v>1843</v>
      </c>
      <c r="D171" s="2273"/>
      <c r="E171" s="1389">
        <f>E169+E170</f>
        <v>1470129550</v>
      </c>
      <c r="F171" s="1389">
        <f>F169+F170</f>
        <v>1357557649</v>
      </c>
      <c r="G171" s="1132">
        <f t="shared" si="8"/>
        <v>8.2922372455359356E-2</v>
      </c>
      <c r="H171" s="893"/>
      <c r="J171" s="1003" t="s">
        <v>1123</v>
      </c>
      <c r="K171" s="1004" t="s">
        <v>8</v>
      </c>
      <c r="L171" s="2383" t="s">
        <v>2038</v>
      </c>
      <c r="M171" s="2384"/>
      <c r="N171" s="2384"/>
      <c r="O171" s="2384"/>
      <c r="P171" s="2384"/>
      <c r="Q171" s="2384"/>
      <c r="R171" s="2384"/>
      <c r="S171" s="2384"/>
      <c r="T171" s="2384"/>
      <c r="U171" s="2384"/>
      <c r="V171" s="2385"/>
    </row>
    <row r="172" spans="1:23" ht="8.25" customHeight="1" x14ac:dyDescent="0.45">
      <c r="A172" s="894"/>
      <c r="B172" s="849"/>
      <c r="C172" s="893"/>
      <c r="D172" s="893"/>
      <c r="E172" s="893"/>
      <c r="F172" s="893"/>
      <c r="G172" s="893"/>
      <c r="H172" s="893"/>
      <c r="J172" s="529"/>
      <c r="K172" s="529"/>
      <c r="L172" s="529"/>
      <c r="M172" s="529"/>
      <c r="N172" s="529"/>
      <c r="O172" s="529"/>
      <c r="P172" s="530"/>
      <c r="Q172" s="530"/>
      <c r="R172" s="530"/>
      <c r="S172" s="530"/>
      <c r="T172" s="530"/>
      <c r="U172" s="530"/>
      <c r="V172" s="530"/>
    </row>
    <row r="173" spans="1:23" s="492" customFormat="1" ht="15.75" customHeight="1" x14ac:dyDescent="0.45">
      <c r="A173" s="2259" t="str">
        <f>"Belanja Modal Tanah "&amp;TEXT($E$187,"Rp#.##0")</f>
        <v>Belanja Modal Tanah Rp0</v>
      </c>
      <c r="B173" s="890"/>
      <c r="C173" s="741" t="s">
        <v>2011</v>
      </c>
      <c r="D173" s="875"/>
      <c r="E173" s="875"/>
      <c r="F173" s="875"/>
      <c r="G173" s="875"/>
      <c r="H173" s="891"/>
      <c r="I173" s="505"/>
      <c r="J173" s="2316" t="s">
        <v>1848</v>
      </c>
      <c r="K173" s="2316"/>
      <c r="L173" s="2316"/>
      <c r="M173" s="2316"/>
      <c r="N173" s="2316"/>
      <c r="O173" s="2316"/>
      <c r="P173" s="2316"/>
      <c r="Q173" s="2316"/>
      <c r="R173" s="2316"/>
      <c r="S173" s="2316"/>
      <c r="T173" s="2316"/>
      <c r="U173" s="2316"/>
      <c r="V173" s="2316"/>
      <c r="W173" s="519"/>
    </row>
    <row r="174" spans="1:23" s="492" customFormat="1" ht="15.75" customHeight="1" x14ac:dyDescent="0.4">
      <c r="A174" s="2259"/>
      <c r="B174" s="849"/>
      <c r="C174" s="2192" t="str">
        <f>"Realisasi Belanja Modal Tanah "&amp;Input!$M$24&amp;" dan "&amp;Input!$M$25&amp;" adalah masing-masing sebesar "&amp;TEXT($E$187,"Rp#.##0")&amp;" dan "&amp;TEXT($F$187,"Rp#.##0")&amp;". "</f>
        <v xml:space="preserve">Realisasi Belanja Modal Tanah 31 Desember 2019 dan 31 Desember 2018 adalah masing-masing sebesar Rp0 dan Rp0. </v>
      </c>
      <c r="D174" s="2192"/>
      <c r="E174" s="2192"/>
      <c r="F174" s="2192"/>
      <c r="G174" s="2192"/>
      <c r="H174" s="2192"/>
      <c r="I174" s="511"/>
      <c r="J174" s="2317" t="s">
        <v>1131</v>
      </c>
      <c r="K174" s="2320" t="s">
        <v>8</v>
      </c>
      <c r="L174" s="2323" t="s">
        <v>2039</v>
      </c>
      <c r="M174" s="2324"/>
      <c r="N174" s="2324"/>
      <c r="O174" s="2324"/>
      <c r="P174" s="2324"/>
      <c r="Q174" s="2324"/>
      <c r="R174" s="2324"/>
      <c r="S174" s="2324"/>
      <c r="T174" s="2324"/>
      <c r="U174" s="2324"/>
      <c r="V174" s="2325"/>
      <c r="W174" s="519"/>
    </row>
    <row r="175" spans="1:23" s="492" customFormat="1" ht="17.25" customHeight="1" x14ac:dyDescent="0.45">
      <c r="A175" s="2259"/>
      <c r="B175" s="849"/>
      <c r="C175" s="2192"/>
      <c r="D175" s="2192"/>
      <c r="E175" s="2192"/>
      <c r="F175" s="2192"/>
      <c r="G175" s="2192"/>
      <c r="H175" s="2192"/>
      <c r="I175" s="505"/>
      <c r="J175" s="2318"/>
      <c r="K175" s="2321"/>
      <c r="L175" s="2326"/>
      <c r="M175" s="2326"/>
      <c r="N175" s="2326"/>
      <c r="O175" s="2326"/>
      <c r="P175" s="2326"/>
      <c r="Q175" s="2326"/>
      <c r="R175" s="2326"/>
      <c r="S175" s="2326"/>
      <c r="T175" s="2326"/>
      <c r="U175" s="2326"/>
      <c r="V175" s="2327"/>
      <c r="W175" s="519"/>
    </row>
    <row r="176" spans="1:23" s="492" customFormat="1" ht="13.5" customHeight="1" x14ac:dyDescent="0.45">
      <c r="A176" s="2259"/>
      <c r="B176" s="849"/>
      <c r="C176" s="2233" t="str">
        <f>"Realisasi Belanja Modal Tanah pada "&amp;Input!$M$24&amp;" "&amp;IF(E187=F187,$L$171,IF(E187&gt;F187,"mengalami kenaikan "&amp;TEXT($G$187,"0,00%")&amp;" persen dibandingkan "&amp;Input!$M$25&amp;". ",IF(E187&lt;F187," mengalami penurunan "&amp;TEXT(-$G$187,"0,00%")&amp;" persen dibandingkan "&amp;Input!$M$25&amp;". ")))&amp;IF(E187=F187,"",IF(E187&gt;F187,$L$174,IF(E187&lt;F187,$L$174)))</f>
        <v>Realisasi Belanja Modal Tanah pada 31 Desember 2019 tidak mengalami perubahan / Nihil.</v>
      </c>
      <c r="D176" s="2233"/>
      <c r="E176" s="2233"/>
      <c r="F176" s="2233"/>
      <c r="G176" s="2233"/>
      <c r="H176" s="2233"/>
      <c r="I176" s="505"/>
      <c r="J176" s="2318"/>
      <c r="K176" s="2321"/>
      <c r="L176" s="2326"/>
      <c r="M176" s="2326"/>
      <c r="N176" s="2326"/>
      <c r="O176" s="2326"/>
      <c r="P176" s="2326"/>
      <c r="Q176" s="2326"/>
      <c r="R176" s="2326"/>
      <c r="S176" s="2326"/>
      <c r="T176" s="2326"/>
      <c r="U176" s="2326"/>
      <c r="V176" s="2327"/>
      <c r="W176" s="1090"/>
    </row>
    <row r="177" spans="1:23" s="492" customFormat="1" ht="7.5" customHeight="1" x14ac:dyDescent="0.45">
      <c r="A177" s="2259"/>
      <c r="B177" s="849"/>
      <c r="C177" s="2233"/>
      <c r="D177" s="2233"/>
      <c r="E177" s="2233"/>
      <c r="F177" s="2233"/>
      <c r="G177" s="2233"/>
      <c r="H177" s="2233"/>
      <c r="I177" s="505"/>
      <c r="J177" s="2319"/>
      <c r="K177" s="2322"/>
      <c r="L177" s="2328"/>
      <c r="M177" s="2328"/>
      <c r="N177" s="2328"/>
      <c r="O177" s="2328"/>
      <c r="P177" s="2328"/>
      <c r="Q177" s="2328"/>
      <c r="R177" s="2328"/>
      <c r="S177" s="2328"/>
      <c r="T177" s="2328"/>
      <c r="U177" s="2328"/>
      <c r="V177" s="2329"/>
      <c r="W177" s="519"/>
    </row>
    <row r="178" spans="1:23" s="492" customFormat="1" ht="7.5" customHeight="1" x14ac:dyDescent="0.45">
      <c r="A178" s="2259"/>
      <c r="B178" s="849"/>
      <c r="C178" s="893"/>
      <c r="D178" s="893"/>
      <c r="E178" s="893"/>
      <c r="F178" s="893"/>
      <c r="G178" s="893"/>
      <c r="H178" s="893"/>
      <c r="I178" s="505"/>
      <c r="J178" s="529"/>
      <c r="K178" s="529"/>
      <c r="L178" s="529"/>
      <c r="M178" s="529"/>
      <c r="N178" s="529"/>
      <c r="O178" s="529"/>
      <c r="P178" s="529"/>
      <c r="Q178" s="529"/>
      <c r="R178" s="529"/>
      <c r="S178" s="529"/>
      <c r="T178" s="529"/>
      <c r="U178" s="529"/>
      <c r="V178" s="529"/>
      <c r="W178" s="519"/>
    </row>
    <row r="179" spans="1:23" s="492" customFormat="1" ht="15.75" customHeight="1" x14ac:dyDescent="0.45">
      <c r="A179" s="2259"/>
      <c r="B179" s="849"/>
      <c r="C179" s="2338" t="str">
        <f>"Perbandingan Belanja Modal Tanah "&amp;Input!$M$24&amp;" dan  "&amp;Input!$M$25</f>
        <v>Perbandingan Belanja Modal Tanah 31 Desember 2019 dan  31 Desember 2018</v>
      </c>
      <c r="D179" s="2338"/>
      <c r="E179" s="2338"/>
      <c r="F179" s="2338"/>
      <c r="G179" s="2338"/>
      <c r="H179" s="893"/>
      <c r="I179" s="505"/>
      <c r="J179" s="529"/>
      <c r="K179" s="529"/>
      <c r="L179" s="529"/>
      <c r="M179" s="529"/>
      <c r="N179" s="529"/>
      <c r="O179" s="529"/>
      <c r="P179" s="529"/>
      <c r="Q179" s="529"/>
      <c r="R179" s="529"/>
      <c r="S179" s="529"/>
      <c r="T179" s="529"/>
      <c r="U179" s="529"/>
      <c r="V179" s="529"/>
      <c r="W179" s="519"/>
    </row>
    <row r="180" spans="1:23" s="492" customFormat="1" x14ac:dyDescent="0.45">
      <c r="A180" s="2259"/>
      <c r="B180" s="849"/>
      <c r="C180" s="2268" t="s">
        <v>45</v>
      </c>
      <c r="D180" s="2269"/>
      <c r="E180" s="840" t="s">
        <v>46</v>
      </c>
      <c r="F180" s="840" t="s">
        <v>46</v>
      </c>
      <c r="G180" s="2283" t="s">
        <v>1785</v>
      </c>
      <c r="H180" s="893"/>
      <c r="I180" s="505"/>
      <c r="J180" s="529"/>
      <c r="K180" s="529"/>
      <c r="L180" s="529"/>
      <c r="M180" s="529"/>
      <c r="N180" s="529"/>
      <c r="O180" s="529"/>
      <c r="P180" s="529"/>
      <c r="Q180" s="529"/>
      <c r="R180" s="529"/>
      <c r="S180" s="529"/>
      <c r="T180" s="529"/>
      <c r="U180" s="529"/>
      <c r="V180" s="529"/>
      <c r="W180" s="519"/>
    </row>
    <row r="181" spans="1:23" s="492" customFormat="1" ht="28" x14ac:dyDescent="0.45">
      <c r="A181" s="894"/>
      <c r="B181" s="849"/>
      <c r="C181" s="2270"/>
      <c r="D181" s="2271"/>
      <c r="E181" s="841" t="str">
        <f>Input!$M$24</f>
        <v>31 Desember 2019</v>
      </c>
      <c r="F181" s="841" t="str">
        <f>Input!$M$25</f>
        <v>31 Desember 2018</v>
      </c>
      <c r="G181" s="2284"/>
      <c r="H181" s="893"/>
      <c r="I181" s="505"/>
      <c r="J181" s="529"/>
      <c r="K181" s="529"/>
      <c r="L181" s="529"/>
      <c r="M181" s="529"/>
      <c r="N181" s="529"/>
      <c r="O181" s="529"/>
      <c r="P181" s="530"/>
      <c r="Q181" s="530"/>
      <c r="R181" s="530"/>
      <c r="S181" s="530"/>
      <c r="T181" s="530"/>
      <c r="U181" s="530"/>
      <c r="V181" s="530"/>
      <c r="W181" s="519"/>
    </row>
    <row r="182" spans="1:23" s="492" customFormat="1" ht="18.75" customHeight="1" x14ac:dyDescent="0.45">
      <c r="A182" s="894"/>
      <c r="B182" s="849"/>
      <c r="C182" s="2314"/>
      <c r="D182" s="2315"/>
      <c r="E182" s="1388">
        <v>0</v>
      </c>
      <c r="F182" s="1387">
        <v>0</v>
      </c>
      <c r="G182" s="870">
        <f t="shared" ref="G182:G187" si="9">IF(ISERROR((E182-F182)/F182),0,((E182-F182)/F182))</f>
        <v>0</v>
      </c>
      <c r="H182" s="893"/>
      <c r="I182" s="513"/>
      <c r="J182" s="2429" t="s">
        <v>2040</v>
      </c>
      <c r="K182" s="2430"/>
      <c r="L182" s="2430"/>
      <c r="M182" s="2430"/>
      <c r="N182" s="2430"/>
      <c r="O182" s="2430"/>
      <c r="P182" s="2430"/>
      <c r="Q182" s="2430"/>
      <c r="R182" s="2430"/>
      <c r="S182" s="2430"/>
      <c r="T182" s="2430"/>
      <c r="U182" s="2430"/>
      <c r="V182" s="2431"/>
      <c r="W182" s="519"/>
    </row>
    <row r="183" spans="1:23" s="492" customFormat="1" x14ac:dyDescent="0.45">
      <c r="A183" s="894"/>
      <c r="B183" s="849"/>
      <c r="C183" s="2314"/>
      <c r="D183" s="2315"/>
      <c r="E183" s="1388">
        <v>0</v>
      </c>
      <c r="F183" s="1387">
        <v>0</v>
      </c>
      <c r="G183" s="870">
        <f t="shared" si="9"/>
        <v>0</v>
      </c>
      <c r="H183" s="893"/>
      <c r="I183" s="505"/>
      <c r="J183" s="2432"/>
      <c r="K183" s="2433"/>
      <c r="L183" s="2433"/>
      <c r="M183" s="2433"/>
      <c r="N183" s="2433"/>
      <c r="O183" s="2433"/>
      <c r="P183" s="2433"/>
      <c r="Q183" s="2433"/>
      <c r="R183" s="2433"/>
      <c r="S183" s="2433"/>
      <c r="T183" s="2433"/>
      <c r="U183" s="2433"/>
      <c r="V183" s="2434"/>
      <c r="W183" s="519"/>
    </row>
    <row r="184" spans="1:23" s="492" customFormat="1" x14ac:dyDescent="0.45">
      <c r="A184" s="894"/>
      <c r="B184" s="849"/>
      <c r="C184" s="2314"/>
      <c r="D184" s="2315"/>
      <c r="E184" s="1388">
        <v>0</v>
      </c>
      <c r="F184" s="1387">
        <v>0</v>
      </c>
      <c r="G184" s="870">
        <f t="shared" si="9"/>
        <v>0</v>
      </c>
      <c r="H184" s="893"/>
      <c r="I184" s="505"/>
      <c r="J184" s="2435"/>
      <c r="K184" s="2436"/>
      <c r="L184" s="2436"/>
      <c r="M184" s="2436"/>
      <c r="N184" s="2436"/>
      <c r="O184" s="2436"/>
      <c r="P184" s="2436"/>
      <c r="Q184" s="2436"/>
      <c r="R184" s="2436"/>
      <c r="S184" s="2436"/>
      <c r="T184" s="2436"/>
      <c r="U184" s="2436"/>
      <c r="V184" s="2437"/>
      <c r="W184" s="519"/>
    </row>
    <row r="185" spans="1:23" s="492" customFormat="1" x14ac:dyDescent="0.45">
      <c r="A185" s="894"/>
      <c r="B185" s="849"/>
      <c r="C185" s="2332" t="s">
        <v>1845</v>
      </c>
      <c r="D185" s="2333"/>
      <c r="E185" s="1388">
        <f>SUM(E182:E184)</f>
        <v>0</v>
      </c>
      <c r="F185" s="1387">
        <f>SUM(F182:F184)</f>
        <v>0</v>
      </c>
      <c r="G185" s="870">
        <f t="shared" si="9"/>
        <v>0</v>
      </c>
      <c r="H185" s="893"/>
      <c r="I185" s="505"/>
      <c r="J185" s="529"/>
      <c r="K185" s="529"/>
      <c r="L185" s="529"/>
      <c r="M185" s="529"/>
      <c r="N185" s="529"/>
      <c r="O185" s="529"/>
      <c r="P185" s="530"/>
      <c r="Q185" s="530"/>
      <c r="R185" s="530"/>
      <c r="S185" s="530"/>
      <c r="T185" s="530"/>
      <c r="U185" s="530"/>
      <c r="V185" s="530"/>
      <c r="W185" s="519"/>
    </row>
    <row r="186" spans="1:23" s="492" customFormat="1" ht="15.75" customHeight="1" x14ac:dyDescent="0.45">
      <c r="A186" s="894"/>
      <c r="B186" s="849"/>
      <c r="C186" s="2334" t="s">
        <v>1846</v>
      </c>
      <c r="D186" s="2335"/>
      <c r="E186" s="1388">
        <v>0</v>
      </c>
      <c r="F186" s="1387">
        <v>0</v>
      </c>
      <c r="G186" s="870">
        <f t="shared" si="9"/>
        <v>0</v>
      </c>
      <c r="H186" s="893"/>
      <c r="I186" s="505"/>
      <c r="J186" s="529"/>
      <c r="K186" s="529"/>
      <c r="L186" s="529"/>
      <c r="M186" s="529"/>
      <c r="N186" s="529"/>
      <c r="O186" s="529"/>
      <c r="P186" s="530"/>
      <c r="Q186" s="530"/>
      <c r="R186" s="530"/>
      <c r="S186" s="530"/>
      <c r="T186" s="530"/>
      <c r="U186" s="530"/>
      <c r="V186" s="530"/>
      <c r="W186" s="519"/>
    </row>
    <row r="187" spans="1:23" s="492" customFormat="1" ht="15.75" customHeight="1" x14ac:dyDescent="0.45">
      <c r="A187" s="894"/>
      <c r="B187" s="849"/>
      <c r="C187" s="2272" t="s">
        <v>1843</v>
      </c>
      <c r="D187" s="2273"/>
      <c r="E187" s="1389">
        <f>E185-E186</f>
        <v>0</v>
      </c>
      <c r="F187" s="1389">
        <f>F185-F186</f>
        <v>0</v>
      </c>
      <c r="G187" s="1132">
        <f t="shared" si="9"/>
        <v>0</v>
      </c>
      <c r="H187" s="893"/>
      <c r="I187" s="505"/>
      <c r="J187" s="1003" t="s">
        <v>1123</v>
      </c>
      <c r="K187" s="1004" t="s">
        <v>8</v>
      </c>
      <c r="L187" s="2383" t="s">
        <v>2038</v>
      </c>
      <c r="M187" s="2384"/>
      <c r="N187" s="2384"/>
      <c r="O187" s="2384"/>
      <c r="P187" s="2384"/>
      <c r="Q187" s="2384"/>
      <c r="R187" s="2384"/>
      <c r="S187" s="2384"/>
      <c r="T187" s="2384"/>
      <c r="U187" s="2384"/>
      <c r="V187" s="2385"/>
      <c r="W187" s="519"/>
    </row>
    <row r="188" spans="1:23" s="492" customFormat="1" ht="15.75" customHeight="1" x14ac:dyDescent="0.45">
      <c r="A188" s="894"/>
      <c r="B188" s="849"/>
      <c r="C188" s="893"/>
      <c r="D188" s="893"/>
      <c r="E188" s="893"/>
      <c r="F188" s="893"/>
      <c r="G188" s="893"/>
      <c r="H188" s="893"/>
      <c r="I188" s="505"/>
      <c r="W188" s="519"/>
    </row>
    <row r="189" spans="1:23" s="492" customFormat="1" ht="15.75" customHeight="1" x14ac:dyDescent="0.45">
      <c r="A189" s="2259" t="str">
        <f>"Belanja Modal Peralatan dan Mesin "&amp;TEXT($E$203,"Rp#.##0")</f>
        <v>Belanja Modal Peralatan dan Mesin Rp933.466.500</v>
      </c>
      <c r="B189" s="890"/>
      <c r="C189" s="741" t="s">
        <v>2012</v>
      </c>
      <c r="D189" s="875"/>
      <c r="E189" s="875"/>
      <c r="F189" s="875"/>
      <c r="G189" s="875"/>
      <c r="H189" s="891"/>
      <c r="I189" s="505"/>
      <c r="J189" s="2316" t="s">
        <v>1847</v>
      </c>
      <c r="K189" s="2316"/>
      <c r="L189" s="2316"/>
      <c r="M189" s="2316"/>
      <c r="N189" s="2316"/>
      <c r="O189" s="2316"/>
      <c r="P189" s="2316"/>
      <c r="Q189" s="2316"/>
      <c r="R189" s="2316"/>
      <c r="S189" s="2316"/>
      <c r="T189" s="2316"/>
      <c r="U189" s="2316"/>
      <c r="V189" s="2316"/>
      <c r="W189" s="519"/>
    </row>
    <row r="190" spans="1:23" s="492" customFormat="1" ht="15.75" customHeight="1" x14ac:dyDescent="0.4">
      <c r="A190" s="2259"/>
      <c r="B190" s="849"/>
      <c r="C190" s="2244" t="str">
        <f>"Realisasi Belanja Modal Peralatan dan Mesin "&amp;Input!$M$24&amp;" adalah sebesar "&amp;TEXT($E$203,"Rp#.##0")&amp;", mengalami penurunan "&amp;TEXT($G$203,"0,00%")&amp;" dibandingkan dengan realisasi "&amp;Input!$M$25&amp;" sebesar "&amp;TEXT($F$203,"Rp#.##0")&amp;"."</f>
        <v>Realisasi Belanja Modal Peralatan dan Mesin 31 Desember 2019 adalah sebesar Rp933.466.500, mengalami penurunan 51,34% dibandingkan dengan realisasi 31 Desember 2018 sebesar Rp616.795.500.</v>
      </c>
      <c r="D190" s="2244"/>
      <c r="E190" s="2244"/>
      <c r="F190" s="2244"/>
      <c r="G190" s="2244"/>
      <c r="H190" s="2244"/>
      <c r="I190" s="511"/>
      <c r="J190" s="2317" t="s">
        <v>1131</v>
      </c>
      <c r="K190" s="2320" t="s">
        <v>8</v>
      </c>
      <c r="L190" s="2323" t="s">
        <v>2401</v>
      </c>
      <c r="M190" s="2324"/>
      <c r="N190" s="2324"/>
      <c r="O190" s="2324"/>
      <c r="P190" s="2324"/>
      <c r="Q190" s="2324"/>
      <c r="R190" s="2324"/>
      <c r="S190" s="2324"/>
      <c r="T190" s="2324"/>
      <c r="U190" s="2324"/>
      <c r="V190" s="2325"/>
      <c r="W190" s="519"/>
    </row>
    <row r="191" spans="1:23" s="492" customFormat="1" ht="30.75" customHeight="1" x14ac:dyDescent="0.45">
      <c r="A191" s="2259"/>
      <c r="B191" s="849"/>
      <c r="C191" s="2244"/>
      <c r="D191" s="2244"/>
      <c r="E191" s="2244"/>
      <c r="F191" s="2244"/>
      <c r="G191" s="2244"/>
      <c r="H191" s="2244"/>
      <c r="I191" s="505"/>
      <c r="J191" s="2318"/>
      <c r="K191" s="2321"/>
      <c r="L191" s="2326"/>
      <c r="M191" s="2326"/>
      <c r="N191" s="2326"/>
      <c r="O191" s="2326"/>
      <c r="P191" s="2326"/>
      <c r="Q191" s="2326"/>
      <c r="R191" s="2326"/>
      <c r="S191" s="2326"/>
      <c r="T191" s="2326"/>
      <c r="U191" s="2326"/>
      <c r="V191" s="2327"/>
      <c r="W191" s="519"/>
    </row>
    <row r="192" spans="1:23" s="492" customFormat="1" ht="3.75" customHeight="1" x14ac:dyDescent="0.45">
      <c r="A192" s="2259"/>
      <c r="B192" s="849"/>
      <c r="C192" s="2244"/>
      <c r="D192" s="2244"/>
      <c r="E192" s="2244"/>
      <c r="F192" s="2244"/>
      <c r="G192" s="2244"/>
      <c r="H192" s="2244"/>
      <c r="I192" s="505"/>
      <c r="J192" s="2318"/>
      <c r="K192" s="2321"/>
      <c r="L192" s="2326"/>
      <c r="M192" s="2326"/>
      <c r="N192" s="2326"/>
      <c r="O192" s="2326"/>
      <c r="P192" s="2326"/>
      <c r="Q192" s="2326"/>
      <c r="R192" s="2326"/>
      <c r="S192" s="2326"/>
      <c r="T192" s="2326"/>
      <c r="U192" s="2326"/>
      <c r="V192" s="2327"/>
      <c r="W192" s="1090"/>
    </row>
    <row r="193" spans="1:23" s="492" customFormat="1" ht="13.5" customHeight="1" x14ac:dyDescent="0.45">
      <c r="A193" s="2259"/>
      <c r="B193" s="849"/>
      <c r="C193" s="2233" t="str">
        <f>"Realisasi Belanja Modal Peralatan dan Mesin pada "&amp;Input!$M$24&amp;" "&amp;IF(E203=F203,$L$204,IF(E203&gt;F203,"mengalami kenaikan "&amp;TEXT($G$203,"0,00%")&amp;" persen dibandingkan "&amp;Input!$M$25&amp;". ",IF(E203&lt;F203," mengalami penurunan "&amp;TEXT($G$203,"0,00%")&amp;" persen dibandingkan "&amp;Input!$M$25&amp;". ")))&amp;IF(E203=F203,"",IF(E203&gt;F203,$L$190,IF(E203&lt;F203,$L$190)))</f>
        <v>Realisasi Belanja Modal Peralatan dan Mesin pada 31 Desember 2019 mengalami kenaikan 51,34% persen dibandingkan 31 Desember 2018. Hal ini disebabkan karena  ada pembelian peralatan mesin seperti 2 aptop sebanyak 5 buah, scanner 2 buah, pc desktop sebanyak 2 buah, Drone 2 buah, mesin penghancur kertas 2 buah,</v>
      </c>
      <c r="D193" s="2233"/>
      <c r="E193" s="2233"/>
      <c r="F193" s="2233"/>
      <c r="G193" s="2233"/>
      <c r="H193" s="2233"/>
      <c r="I193" s="505"/>
      <c r="J193" s="2318"/>
      <c r="K193" s="2321"/>
      <c r="L193" s="2326"/>
      <c r="M193" s="2326"/>
      <c r="N193" s="2326"/>
      <c r="O193" s="2326"/>
      <c r="P193" s="2326"/>
      <c r="Q193" s="2326"/>
      <c r="R193" s="2326"/>
      <c r="S193" s="2326"/>
      <c r="T193" s="2326"/>
      <c r="U193" s="2326"/>
      <c r="V193" s="2327"/>
      <c r="W193" s="1364"/>
    </row>
    <row r="194" spans="1:23" s="492" customFormat="1" x14ac:dyDescent="0.45">
      <c r="A194" s="2259"/>
      <c r="B194" s="849"/>
      <c r="C194" s="2233"/>
      <c r="D194" s="2233"/>
      <c r="E194" s="2233"/>
      <c r="F194" s="2233"/>
      <c r="G194" s="2233"/>
      <c r="H194" s="2233"/>
      <c r="I194" s="505"/>
      <c r="J194" s="2318"/>
      <c r="K194" s="2321"/>
      <c r="L194" s="2326"/>
      <c r="M194" s="2326"/>
      <c r="N194" s="2326"/>
      <c r="O194" s="2326"/>
      <c r="P194" s="2326"/>
      <c r="Q194" s="2326"/>
      <c r="R194" s="2326"/>
      <c r="S194" s="2326"/>
      <c r="T194" s="2326"/>
      <c r="U194" s="2326"/>
      <c r="V194" s="2327"/>
      <c r="W194" s="1364"/>
    </row>
    <row r="195" spans="1:23" s="492" customFormat="1" x14ac:dyDescent="0.45">
      <c r="A195" s="2259"/>
      <c r="B195" s="849"/>
      <c r="C195" s="2233"/>
      <c r="D195" s="2233"/>
      <c r="E195" s="2233"/>
      <c r="F195" s="2233"/>
      <c r="G195" s="2233"/>
      <c r="H195" s="2233"/>
      <c r="I195" s="505"/>
      <c r="J195" s="2318"/>
      <c r="K195" s="2321"/>
      <c r="L195" s="2326"/>
      <c r="M195" s="2326"/>
      <c r="N195" s="2326"/>
      <c r="O195" s="2326"/>
      <c r="P195" s="2326"/>
      <c r="Q195" s="2326"/>
      <c r="R195" s="2326"/>
      <c r="S195" s="2326"/>
      <c r="T195" s="2326"/>
      <c r="U195" s="2326"/>
      <c r="V195" s="2327"/>
      <c r="W195" s="1364"/>
    </row>
    <row r="196" spans="1:23" s="492" customFormat="1" ht="22" customHeight="1" x14ac:dyDescent="0.45">
      <c r="A196" s="2259"/>
      <c r="B196" s="849"/>
      <c r="C196" s="2233"/>
      <c r="D196" s="2233"/>
      <c r="E196" s="2233"/>
      <c r="F196" s="2233"/>
      <c r="G196" s="2233"/>
      <c r="H196" s="2233"/>
      <c r="I196" s="505"/>
      <c r="J196" s="2319"/>
      <c r="K196" s="2322"/>
      <c r="L196" s="2328"/>
      <c r="M196" s="2328"/>
      <c r="N196" s="2328"/>
      <c r="O196" s="2328"/>
      <c r="P196" s="2328"/>
      <c r="Q196" s="2328"/>
      <c r="R196" s="2328"/>
      <c r="S196" s="2328"/>
      <c r="T196" s="2328"/>
      <c r="U196" s="2328"/>
      <c r="V196" s="2329"/>
      <c r="W196" s="1090"/>
    </row>
    <row r="197" spans="1:23" s="492" customFormat="1" ht="15.75" customHeight="1" x14ac:dyDescent="0.45">
      <c r="A197" s="894"/>
      <c r="B197" s="849"/>
      <c r="C197" s="2338" t="str">
        <f>"Perbandingan Belanja Modal Peralatan dan Mesin "&amp;Input!$M$24&amp;" dan  "&amp;Input!$M$25</f>
        <v>Perbandingan Belanja Modal Peralatan dan Mesin 31 Desember 2019 dan  31 Desember 2018</v>
      </c>
      <c r="D197" s="2338"/>
      <c r="E197" s="2338"/>
      <c r="F197" s="2338"/>
      <c r="G197" s="2338"/>
      <c r="H197" s="893"/>
      <c r="I197" s="505"/>
      <c r="J197" s="529"/>
      <c r="K197" s="529"/>
      <c r="L197" s="529"/>
      <c r="M197" s="529"/>
      <c r="N197" s="529"/>
      <c r="O197" s="529"/>
      <c r="P197" s="529"/>
      <c r="Q197" s="529"/>
      <c r="R197" s="529"/>
      <c r="S197" s="529"/>
      <c r="T197" s="529"/>
      <c r="U197" s="529"/>
      <c r="V197" s="529"/>
      <c r="W197" s="519"/>
    </row>
    <row r="198" spans="1:23" s="492" customFormat="1" ht="26.25" customHeight="1" x14ac:dyDescent="0.45">
      <c r="A198" s="894"/>
      <c r="B198" s="849"/>
      <c r="C198" s="2268" t="s">
        <v>45</v>
      </c>
      <c r="D198" s="2269"/>
      <c r="E198" s="840" t="s">
        <v>46</v>
      </c>
      <c r="F198" s="840" t="s">
        <v>46</v>
      </c>
      <c r="G198" s="2336" t="s">
        <v>1785</v>
      </c>
      <c r="H198" s="893"/>
      <c r="I198" s="505"/>
      <c r="J198" s="529"/>
      <c r="K198" s="529"/>
      <c r="L198" s="529"/>
      <c r="M198" s="529"/>
      <c r="N198" s="529"/>
      <c r="O198" s="529"/>
      <c r="P198" s="529"/>
      <c r="Q198" s="529"/>
      <c r="R198" s="529"/>
      <c r="S198" s="529"/>
      <c r="T198" s="529"/>
      <c r="U198" s="529"/>
      <c r="V198" s="529"/>
      <c r="W198" s="519"/>
    </row>
    <row r="199" spans="1:23" s="492" customFormat="1" ht="26.25" customHeight="1" x14ac:dyDescent="0.45">
      <c r="A199" s="894"/>
      <c r="B199" s="849"/>
      <c r="C199" s="2270"/>
      <c r="D199" s="2271"/>
      <c r="E199" s="841" t="str">
        <f>Input!$M$24</f>
        <v>31 Desember 2019</v>
      </c>
      <c r="F199" s="841" t="str">
        <f>Input!$M$25</f>
        <v>31 Desember 2018</v>
      </c>
      <c r="G199" s="2337"/>
      <c r="H199" s="893"/>
      <c r="I199" s="505"/>
      <c r="J199" s="529"/>
      <c r="K199" s="529"/>
      <c r="L199" s="529"/>
      <c r="M199" s="529"/>
      <c r="N199" s="529"/>
      <c r="O199" s="529"/>
      <c r="P199" s="530"/>
      <c r="Q199" s="530"/>
      <c r="R199" s="530"/>
      <c r="S199" s="530"/>
      <c r="T199" s="530"/>
      <c r="U199" s="530"/>
      <c r="V199" s="530"/>
      <c r="W199" s="519"/>
    </row>
    <row r="200" spans="1:23" s="492" customFormat="1" ht="15.75" customHeight="1" x14ac:dyDescent="0.45">
      <c r="A200" s="894"/>
      <c r="B200" s="849"/>
      <c r="C200" s="2314" t="s">
        <v>1975</v>
      </c>
      <c r="D200" s="2315"/>
      <c r="E200" s="1388">
        <f>E165</f>
        <v>933466500</v>
      </c>
      <c r="F200" s="1387">
        <f>F165</f>
        <v>616795500</v>
      </c>
      <c r="G200" s="870">
        <f t="shared" ref="G200:G203" si="10">IF(ISERROR((E200-F200)/F200),0,((E200-F200)/F200))</f>
        <v>0.51341327879337639</v>
      </c>
      <c r="H200" s="893"/>
      <c r="I200" s="513"/>
      <c r="J200" s="2429" t="s">
        <v>2049</v>
      </c>
      <c r="K200" s="2430"/>
      <c r="L200" s="2430"/>
      <c r="M200" s="2430"/>
      <c r="N200" s="2430"/>
      <c r="O200" s="2430"/>
      <c r="P200" s="2430"/>
      <c r="Q200" s="2430"/>
      <c r="R200" s="2430"/>
      <c r="S200" s="2430"/>
      <c r="T200" s="2430"/>
      <c r="U200" s="2430"/>
      <c r="V200" s="2431"/>
      <c r="W200" s="519"/>
    </row>
    <row r="201" spans="1:23" s="492" customFormat="1" ht="15.75" customHeight="1" x14ac:dyDescent="0.45">
      <c r="A201" s="894"/>
      <c r="B201" s="849"/>
      <c r="C201" s="2332" t="s">
        <v>1845</v>
      </c>
      <c r="D201" s="2333"/>
      <c r="E201" s="1388">
        <f>SUM(E200:E200)</f>
        <v>933466500</v>
      </c>
      <c r="F201" s="1387">
        <f>SUM(F200:F200)</f>
        <v>616795500</v>
      </c>
      <c r="G201" s="870">
        <f t="shared" si="10"/>
        <v>0.51341327879337639</v>
      </c>
      <c r="H201" s="893"/>
      <c r="I201" s="505"/>
      <c r="J201" s="2432"/>
      <c r="K201" s="2433"/>
      <c r="L201" s="2433"/>
      <c r="M201" s="2433"/>
      <c r="N201" s="2433"/>
      <c r="O201" s="2433"/>
      <c r="P201" s="2433"/>
      <c r="Q201" s="2433"/>
      <c r="R201" s="2433"/>
      <c r="S201" s="2433"/>
      <c r="T201" s="2433"/>
      <c r="U201" s="2433"/>
      <c r="V201" s="2434"/>
      <c r="W201" s="519"/>
    </row>
    <row r="202" spans="1:23" s="492" customFormat="1" ht="15.75" customHeight="1" x14ac:dyDescent="0.45">
      <c r="A202" s="894"/>
      <c r="B202" s="849"/>
      <c r="C202" s="2334" t="s">
        <v>1846</v>
      </c>
      <c r="D202" s="2335"/>
      <c r="E202" s="1388">
        <v>0</v>
      </c>
      <c r="F202" s="1387">
        <v>0</v>
      </c>
      <c r="G202" s="870">
        <f t="shared" si="10"/>
        <v>0</v>
      </c>
      <c r="H202" s="893"/>
      <c r="I202" s="505"/>
      <c r="J202" s="2432"/>
      <c r="K202" s="2433"/>
      <c r="L202" s="2433"/>
      <c r="M202" s="2433"/>
      <c r="N202" s="2433"/>
      <c r="O202" s="2433"/>
      <c r="P202" s="2433"/>
      <c r="Q202" s="2433"/>
      <c r="R202" s="2433"/>
      <c r="S202" s="2433"/>
      <c r="T202" s="2433"/>
      <c r="U202" s="2433"/>
      <c r="V202" s="2434"/>
      <c r="W202" s="519"/>
    </row>
    <row r="203" spans="1:23" s="492" customFormat="1" ht="15.75" customHeight="1" x14ac:dyDescent="0.45">
      <c r="A203" s="894"/>
      <c r="B203" s="849"/>
      <c r="C203" s="2272" t="s">
        <v>1843</v>
      </c>
      <c r="D203" s="2273"/>
      <c r="E203" s="1389">
        <f>E201-E202</f>
        <v>933466500</v>
      </c>
      <c r="F203" s="1389">
        <f>F201-F202</f>
        <v>616795500</v>
      </c>
      <c r="G203" s="1132">
        <f t="shared" si="10"/>
        <v>0.51341327879337639</v>
      </c>
      <c r="H203" s="893"/>
      <c r="I203" s="505"/>
      <c r="J203" s="2435"/>
      <c r="K203" s="2436"/>
      <c r="L203" s="2436"/>
      <c r="M203" s="2436"/>
      <c r="N203" s="2436"/>
      <c r="O203" s="2436"/>
      <c r="P203" s="2436"/>
      <c r="Q203" s="2436"/>
      <c r="R203" s="2436"/>
      <c r="S203" s="2436"/>
      <c r="T203" s="2436"/>
      <c r="U203" s="2436"/>
      <c r="V203" s="2437"/>
      <c r="W203" s="519"/>
    </row>
    <row r="204" spans="1:23" s="492" customFormat="1" ht="15.75" customHeight="1" x14ac:dyDescent="0.45">
      <c r="A204" s="894"/>
      <c r="B204" s="849"/>
      <c r="C204" s="893"/>
      <c r="D204" s="893"/>
      <c r="E204" s="893"/>
      <c r="F204" s="893"/>
      <c r="G204" s="893"/>
      <c r="H204" s="893"/>
      <c r="I204" s="505"/>
      <c r="J204" s="1381" t="s">
        <v>1123</v>
      </c>
      <c r="K204" s="1382" t="s">
        <v>8</v>
      </c>
      <c r="L204" s="2485" t="s">
        <v>2038</v>
      </c>
      <c r="M204" s="2486"/>
      <c r="N204" s="2486"/>
      <c r="O204" s="2486"/>
      <c r="P204" s="2486"/>
      <c r="Q204" s="2486"/>
      <c r="R204" s="2486"/>
      <c r="S204" s="2486"/>
      <c r="T204" s="2486"/>
      <c r="U204" s="2486"/>
      <c r="V204" s="2487"/>
      <c r="W204" s="519"/>
    </row>
    <row r="205" spans="1:23" s="492" customFormat="1" ht="15.75" customHeight="1" x14ac:dyDescent="0.45">
      <c r="A205" s="2259" t="str">
        <f>"Belanja Modal Gedung dan Bangunan "&amp;TEXT(Input!$D$430,"Rp#.##0")</f>
        <v>Belanja Modal Gedung dan Bangunan Rp536.663.050</v>
      </c>
      <c r="B205" s="890"/>
      <c r="C205" s="741" t="s">
        <v>2013</v>
      </c>
      <c r="D205" s="875"/>
      <c r="E205" s="875"/>
      <c r="F205" s="891"/>
      <c r="G205" s="891"/>
      <c r="H205" s="891"/>
      <c r="I205" s="505"/>
      <c r="J205" s="2316" t="s">
        <v>1849</v>
      </c>
      <c r="K205" s="2316"/>
      <c r="L205" s="2316"/>
      <c r="M205" s="2316"/>
      <c r="N205" s="2316"/>
      <c r="O205" s="2316"/>
      <c r="P205" s="2316"/>
      <c r="Q205" s="2316"/>
      <c r="R205" s="2316"/>
      <c r="S205" s="2316"/>
      <c r="T205" s="2316"/>
      <c r="U205" s="2316"/>
      <c r="V205" s="2316"/>
      <c r="W205" s="519"/>
    </row>
    <row r="206" spans="1:23" s="492" customFormat="1" ht="15.75" customHeight="1" x14ac:dyDescent="0.4">
      <c r="A206" s="2463"/>
      <c r="B206" s="849"/>
      <c r="C206" s="2244" t="str">
        <f>"Realisasi Belanja Modal Gedung dan Bangunan "&amp;Input!$M$24&amp;" dan "&amp;Input!$M$25&amp;" adalah masing-masing sebesar "&amp;TEXT(Input!$D$430,"Rp#.##0")&amp;" dan "&amp;TEXT(Input!$J$430,"Rp#.##0")&amp;". Realisasi Belanja Modal Gedung dan Bangunan "&amp;Input!$M$24&amp;" "&amp;IF(E218=F218,$L$204,IF(E218&gt;F218,"mengalami kenaikan "&amp;TEXT($G$218,"0,00%")&amp;" persen dibandingkan realisasi "&amp;Input!$M$25&amp;". ",IF(E218&lt;F218," mengalami penurunan "&amp;TEXT(-$G$218,"0,00%")&amp;" persen dibandingkan realisasi "&amp;Input!$M$25&amp;". ")))&amp;IF(E218=F218,"",IF(E218&gt;F218,$L$206,IF(E218&lt;F218,$L$206)))</f>
        <v>Realisasi Belanja Modal Gedung dan Bangunan 31 Desember 2019 dan 31 Desember 2018 adalah masing-masing sebesar Rp536.663.050 dan Rp740.762.149. Realisasi Belanja Modal Gedung dan Bangunan 31 Desember 2019  mengalami penurunan 27,55% persen dibandingkan realisasi 31 Desember 2018. Hal ini disebabkan dikarenakan  hanya melakukan renovasi berupa pembuatan sekat ruangan di gedung tengah, dan perbaikan pada tembok atau gapura kantor</v>
      </c>
      <c r="D206" s="2244"/>
      <c r="E206" s="2244"/>
      <c r="F206" s="2244"/>
      <c r="G206" s="2244"/>
      <c r="H206" s="2244"/>
      <c r="I206" s="511"/>
      <c r="J206" s="2317" t="s">
        <v>1131</v>
      </c>
      <c r="K206" s="2320" t="s">
        <v>8</v>
      </c>
      <c r="L206" s="2323" t="s">
        <v>2403</v>
      </c>
      <c r="M206" s="2324"/>
      <c r="N206" s="2324"/>
      <c r="O206" s="2324"/>
      <c r="P206" s="2324"/>
      <c r="Q206" s="2324"/>
      <c r="R206" s="2324"/>
      <c r="S206" s="2324"/>
      <c r="T206" s="2324"/>
      <c r="U206" s="2324"/>
      <c r="V206" s="2325"/>
      <c r="W206" s="519"/>
    </row>
    <row r="207" spans="1:23" s="492" customFormat="1" ht="56" customHeight="1" x14ac:dyDescent="0.45">
      <c r="A207" s="2463"/>
      <c r="B207" s="849"/>
      <c r="C207" s="2244"/>
      <c r="D207" s="2244"/>
      <c r="E207" s="2244"/>
      <c r="F207" s="2244"/>
      <c r="G207" s="2244"/>
      <c r="H207" s="2244"/>
      <c r="I207" s="505"/>
      <c r="J207" s="2318"/>
      <c r="K207" s="2321"/>
      <c r="L207" s="2326"/>
      <c r="M207" s="2326"/>
      <c r="N207" s="2326"/>
      <c r="O207" s="2326"/>
      <c r="P207" s="2326"/>
      <c r="Q207" s="2326"/>
      <c r="R207" s="2326"/>
      <c r="S207" s="2326"/>
      <c r="T207" s="2326"/>
      <c r="U207" s="2326"/>
      <c r="V207" s="2327"/>
      <c r="W207" s="519"/>
    </row>
    <row r="208" spans="1:23" s="492" customFormat="1" ht="13.5" customHeight="1" x14ac:dyDescent="0.45">
      <c r="A208" s="2463"/>
      <c r="B208" s="849"/>
      <c r="C208" s="2244"/>
      <c r="D208" s="2244"/>
      <c r="E208" s="2244"/>
      <c r="F208" s="2244"/>
      <c r="G208" s="2244"/>
      <c r="H208" s="2244"/>
      <c r="I208" s="505"/>
      <c r="J208" s="2318"/>
      <c r="K208" s="2321"/>
      <c r="L208" s="2326"/>
      <c r="M208" s="2326"/>
      <c r="N208" s="2326"/>
      <c r="O208" s="2326"/>
      <c r="P208" s="2326"/>
      <c r="Q208" s="2326"/>
      <c r="R208" s="2326"/>
      <c r="S208" s="2326"/>
      <c r="T208" s="2326"/>
      <c r="U208" s="2326"/>
      <c r="V208" s="2327"/>
      <c r="W208" s="1090"/>
    </row>
    <row r="209" spans="1:23" s="492" customFormat="1" ht="4.5" customHeight="1" x14ac:dyDescent="0.45">
      <c r="A209" s="2463"/>
      <c r="B209" s="849"/>
      <c r="C209" s="2244"/>
      <c r="D209" s="2244"/>
      <c r="E209" s="2244"/>
      <c r="F209" s="2244"/>
      <c r="G209" s="2244"/>
      <c r="H209" s="2244"/>
      <c r="I209" s="505"/>
      <c r="J209" s="2318"/>
      <c r="K209" s="2321"/>
      <c r="L209" s="2326"/>
      <c r="M209" s="2326"/>
      <c r="N209" s="2326"/>
      <c r="O209" s="2326"/>
      <c r="P209" s="2326"/>
      <c r="Q209" s="2326"/>
      <c r="R209" s="2326"/>
      <c r="S209" s="2326"/>
      <c r="T209" s="2326"/>
      <c r="U209" s="2326"/>
      <c r="V209" s="2327"/>
      <c r="W209" s="1090"/>
    </row>
    <row r="210" spans="1:23" s="492" customFormat="1" ht="4.5" customHeight="1" x14ac:dyDescent="0.45">
      <c r="A210" s="2463"/>
      <c r="B210" s="849"/>
      <c r="C210" s="2244"/>
      <c r="D210" s="2244"/>
      <c r="E210" s="2244"/>
      <c r="F210" s="2244"/>
      <c r="G210" s="2244"/>
      <c r="H210" s="2244"/>
      <c r="I210" s="505"/>
      <c r="J210" s="2319"/>
      <c r="K210" s="2322"/>
      <c r="L210" s="2328"/>
      <c r="M210" s="2328"/>
      <c r="N210" s="2328"/>
      <c r="O210" s="2328"/>
      <c r="P210" s="2328"/>
      <c r="Q210" s="2328"/>
      <c r="R210" s="2328"/>
      <c r="S210" s="2328"/>
      <c r="T210" s="2328"/>
      <c r="U210" s="2328"/>
      <c r="V210" s="2329"/>
      <c r="W210" s="519"/>
    </row>
    <row r="211" spans="1:23" s="492" customFormat="1" ht="15.75" customHeight="1" x14ac:dyDescent="0.45">
      <c r="A211" s="894"/>
      <c r="B211" s="849"/>
      <c r="C211" s="2338" t="str">
        <f>"Perbandingan Belanja Modal Gedung dan Bangunan "&amp;Input!$M$24&amp;" dan  "&amp;Input!$M$25</f>
        <v>Perbandingan Belanja Modal Gedung dan Bangunan 31 Desember 2019 dan  31 Desember 2018</v>
      </c>
      <c r="D211" s="2338"/>
      <c r="E211" s="2338"/>
      <c r="F211" s="2338"/>
      <c r="G211" s="2338"/>
      <c r="H211" s="893"/>
      <c r="I211" s="505"/>
      <c r="J211" s="529"/>
      <c r="K211" s="529"/>
      <c r="L211" s="529"/>
      <c r="M211" s="529"/>
      <c r="N211" s="529"/>
      <c r="O211" s="529"/>
      <c r="P211" s="529"/>
      <c r="Q211" s="529"/>
      <c r="R211" s="529"/>
      <c r="S211" s="529"/>
      <c r="T211" s="529"/>
      <c r="U211" s="529"/>
      <c r="V211" s="529"/>
      <c r="W211" s="519"/>
    </row>
    <row r="212" spans="1:23" s="492" customFormat="1" ht="15.75" customHeight="1" x14ac:dyDescent="0.45">
      <c r="A212" s="894"/>
      <c r="B212" s="849"/>
      <c r="C212" s="2268" t="s">
        <v>45</v>
      </c>
      <c r="D212" s="2269"/>
      <c r="E212" s="2348" t="s">
        <v>46</v>
      </c>
      <c r="F212" s="2348" t="s">
        <v>46</v>
      </c>
      <c r="G212" s="2336" t="s">
        <v>1785</v>
      </c>
      <c r="H212" s="893"/>
      <c r="I212" s="505"/>
      <c r="J212" s="529"/>
      <c r="K212" s="529"/>
      <c r="L212" s="529"/>
      <c r="M212" s="529"/>
      <c r="N212" s="529"/>
      <c r="O212" s="529"/>
      <c r="P212" s="529"/>
      <c r="Q212" s="529"/>
      <c r="R212" s="529"/>
      <c r="S212" s="529"/>
      <c r="T212" s="529"/>
      <c r="U212" s="529"/>
      <c r="V212" s="529"/>
      <c r="W212" s="519"/>
    </row>
    <row r="213" spans="1:23" s="492" customFormat="1" ht="15.75" customHeight="1" x14ac:dyDescent="0.45">
      <c r="A213" s="894"/>
      <c r="B213" s="849"/>
      <c r="C213" s="2330"/>
      <c r="D213" s="2331"/>
      <c r="E213" s="2349"/>
      <c r="F213" s="2349"/>
      <c r="G213" s="2466"/>
      <c r="H213" s="893"/>
      <c r="I213" s="505"/>
      <c r="J213" s="529"/>
      <c r="K213" s="529"/>
      <c r="L213" s="529"/>
      <c r="M213" s="529"/>
      <c r="N213" s="529"/>
      <c r="O213" s="529"/>
      <c r="P213" s="530"/>
      <c r="Q213" s="530"/>
      <c r="R213" s="530"/>
      <c r="S213" s="530"/>
      <c r="T213" s="530"/>
      <c r="U213" s="530"/>
      <c r="V213" s="530"/>
      <c r="W213" s="519"/>
    </row>
    <row r="214" spans="1:23" s="492" customFormat="1" ht="26" customHeight="1" x14ac:dyDescent="0.45">
      <c r="A214" s="894"/>
      <c r="B214" s="849"/>
      <c r="C214" s="2270"/>
      <c r="D214" s="2271"/>
      <c r="E214" s="841" t="str">
        <f>Input!$M$24</f>
        <v>31 Desember 2019</v>
      </c>
      <c r="F214" s="841" t="str">
        <f>Input!$M$25</f>
        <v>31 Desember 2018</v>
      </c>
      <c r="G214" s="2337"/>
      <c r="H214" s="893"/>
      <c r="I214" s="505"/>
      <c r="J214" s="529"/>
      <c r="K214" s="529"/>
      <c r="L214" s="529"/>
      <c r="M214" s="529"/>
      <c r="N214" s="529"/>
      <c r="O214" s="529"/>
      <c r="P214" s="530"/>
      <c r="Q214" s="530"/>
      <c r="R214" s="530"/>
      <c r="S214" s="530"/>
      <c r="T214" s="530"/>
      <c r="U214" s="530"/>
      <c r="V214" s="530"/>
      <c r="W214" s="519"/>
    </row>
    <row r="215" spans="1:23" s="492" customFormat="1" ht="15.75" customHeight="1" x14ac:dyDescent="0.45">
      <c r="A215" s="894"/>
      <c r="B215" s="849"/>
      <c r="C215" s="2314" t="s">
        <v>2402</v>
      </c>
      <c r="D215" s="2315"/>
      <c r="E215" s="1388">
        <f>Input!D430</f>
        <v>536663050</v>
      </c>
      <c r="F215" s="1387">
        <f>Input!Z389</f>
        <v>740762149</v>
      </c>
      <c r="G215" s="870">
        <f>IF(ISERROR((E215-F215)/F215),0,((E215-F215)/F215))</f>
        <v>-0.27552582063692888</v>
      </c>
      <c r="H215" s="893"/>
      <c r="I215" s="513"/>
      <c r="J215" s="2453" t="s">
        <v>2048</v>
      </c>
      <c r="K215" s="2454"/>
      <c r="L215" s="2454"/>
      <c r="M215" s="2454"/>
      <c r="N215" s="2454"/>
      <c r="O215" s="2454"/>
      <c r="P215" s="2454"/>
      <c r="Q215" s="2454"/>
      <c r="R215" s="2454"/>
      <c r="S215" s="2454"/>
      <c r="T215" s="2454"/>
      <c r="U215" s="2454"/>
      <c r="V215" s="2455"/>
      <c r="W215" s="519"/>
    </row>
    <row r="216" spans="1:23" s="492" customFormat="1" ht="15.75" customHeight="1" x14ac:dyDescent="0.45">
      <c r="A216" s="894"/>
      <c r="B216" s="849"/>
      <c r="C216" s="2332" t="s">
        <v>1845</v>
      </c>
      <c r="D216" s="2333"/>
      <c r="E216" s="1388">
        <f>SUM(E215:E215)</f>
        <v>536663050</v>
      </c>
      <c r="F216" s="1387">
        <f>SUM(F215:F215)</f>
        <v>740762149</v>
      </c>
      <c r="G216" s="870">
        <f>IF(ISERROR((E216-F216)/F216),0,((E216-F216)/F216))</f>
        <v>-0.27552582063692888</v>
      </c>
      <c r="H216" s="893"/>
      <c r="I216" s="505"/>
      <c r="J216" s="2456"/>
      <c r="K216" s="2457"/>
      <c r="L216" s="2457"/>
      <c r="M216" s="2457"/>
      <c r="N216" s="2457"/>
      <c r="O216" s="2457"/>
      <c r="P216" s="2457"/>
      <c r="Q216" s="2457"/>
      <c r="R216" s="2457"/>
      <c r="S216" s="2457"/>
      <c r="T216" s="2457"/>
      <c r="U216" s="2457"/>
      <c r="V216" s="2458"/>
      <c r="W216" s="519"/>
    </row>
    <row r="217" spans="1:23" s="492" customFormat="1" ht="15.75" customHeight="1" x14ac:dyDescent="0.45">
      <c r="A217" s="894"/>
      <c r="B217" s="849"/>
      <c r="C217" s="2334" t="s">
        <v>1846</v>
      </c>
      <c r="D217" s="2335"/>
      <c r="E217" s="1388">
        <v>0</v>
      </c>
      <c r="F217" s="1387">
        <v>0</v>
      </c>
      <c r="G217" s="870">
        <f>IF(ISERROR((E217-F217)/F217),0,((E217-F217)/F217))</f>
        <v>0</v>
      </c>
      <c r="H217" s="893"/>
      <c r="I217" s="505"/>
      <c r="J217" s="2456"/>
      <c r="K217" s="2457"/>
      <c r="L217" s="2457"/>
      <c r="M217" s="2457"/>
      <c r="N217" s="2457"/>
      <c r="O217" s="2457"/>
      <c r="P217" s="2457"/>
      <c r="Q217" s="2457"/>
      <c r="R217" s="2457"/>
      <c r="S217" s="2457"/>
      <c r="T217" s="2457"/>
      <c r="U217" s="2457"/>
      <c r="V217" s="2458"/>
      <c r="W217" s="519"/>
    </row>
    <row r="218" spans="1:23" s="492" customFormat="1" ht="15.75" customHeight="1" x14ac:dyDescent="0.45">
      <c r="A218" s="894"/>
      <c r="B218" s="849"/>
      <c r="C218" s="2272" t="s">
        <v>1843</v>
      </c>
      <c r="D218" s="2273"/>
      <c r="E218" s="1389">
        <f>E216-E217</f>
        <v>536663050</v>
      </c>
      <c r="F218" s="1389">
        <f>F216-F217</f>
        <v>740762149</v>
      </c>
      <c r="G218" s="1132">
        <f>IF(ISERROR((E218-F218)/F218),0,((E218-F218)/F218))</f>
        <v>-0.27552582063692888</v>
      </c>
      <c r="H218" s="893"/>
      <c r="I218" s="505"/>
      <c r="J218" s="2459"/>
      <c r="K218" s="2460"/>
      <c r="L218" s="2460"/>
      <c r="M218" s="2460"/>
      <c r="N218" s="2460"/>
      <c r="O218" s="2460"/>
      <c r="P218" s="2460"/>
      <c r="Q218" s="2460"/>
      <c r="R218" s="2460"/>
      <c r="S218" s="2460"/>
      <c r="T218" s="2460"/>
      <c r="U218" s="2460"/>
      <c r="V218" s="2461"/>
      <c r="W218" s="519"/>
    </row>
    <row r="219" spans="1:23" ht="15.75" customHeight="1" x14ac:dyDescent="0.45">
      <c r="A219" s="894"/>
      <c r="B219" s="849"/>
      <c r="C219" s="893"/>
      <c r="D219" s="893"/>
      <c r="E219" s="893"/>
      <c r="F219" s="893"/>
      <c r="G219" s="893"/>
      <c r="H219" s="893"/>
      <c r="J219" s="1381" t="s">
        <v>1123</v>
      </c>
      <c r="K219" s="1382" t="s">
        <v>8</v>
      </c>
      <c r="L219" s="2485" t="s">
        <v>2038</v>
      </c>
      <c r="M219" s="2486"/>
      <c r="N219" s="2486"/>
      <c r="O219" s="2486"/>
      <c r="P219" s="2486"/>
      <c r="Q219" s="2486"/>
      <c r="R219" s="2486"/>
      <c r="S219" s="2486"/>
      <c r="T219" s="2486"/>
      <c r="U219" s="2486"/>
      <c r="V219" s="2487"/>
    </row>
    <row r="220" spans="1:23" s="492" customFormat="1" ht="15.75" customHeight="1" x14ac:dyDescent="0.45">
      <c r="A220" s="2303" t="str">
        <f>"Belanja Modal Jalan, Irigasi dan Jaringan "&amp;TEXT($E$235,"Rp#.##0")</f>
        <v>Belanja Modal Jalan, Irigasi dan Jaringan Rp0</v>
      </c>
      <c r="B220" s="890"/>
      <c r="C220" s="741" t="s">
        <v>2014</v>
      </c>
      <c r="D220" s="875"/>
      <c r="E220" s="875"/>
      <c r="F220" s="875"/>
      <c r="G220" s="875"/>
      <c r="H220" s="875"/>
      <c r="I220" s="505"/>
      <c r="J220" s="2316" t="s">
        <v>2042</v>
      </c>
      <c r="K220" s="2316"/>
      <c r="L220" s="2316"/>
      <c r="M220" s="2316"/>
      <c r="N220" s="2316"/>
      <c r="O220" s="2316"/>
      <c r="P220" s="2316"/>
      <c r="Q220" s="2316"/>
      <c r="R220" s="2316"/>
      <c r="S220" s="2316"/>
      <c r="T220" s="2316"/>
      <c r="U220" s="2316"/>
      <c r="V220" s="2316"/>
      <c r="W220" s="519"/>
    </row>
    <row r="221" spans="1:23" s="492" customFormat="1" ht="15.75" customHeight="1" x14ac:dyDescent="0.4">
      <c r="A221" s="2304"/>
      <c r="B221" s="849"/>
      <c r="C221" s="2244" t="str">
        <f>"Realisasi Belanja Modal Jalan, Irigasi dan Jaringan "&amp;Input!$M$24&amp;" dan "&amp;Input!$M$25&amp;" adalah masing-masing sebesar "&amp;TEXT($E$235,"Rp#.##0")&amp;" dan "&amp;TEXT($F$235,"Rp#.##0")&amp;". Realisasi Belanja Modal Jalan, Irigasi dan Jaringan "&amp;Input!$M$24&amp;" "&amp;IF(E235=F235,$L$219,IF(E235&gt;F235,"mengalami kenaikan "&amp;TEXT($G$235,"0,00%")&amp;" persen dibandingkan realisasi "&amp;Input!$M$25&amp;". ",IF(E235&lt;F235," mengalami penurunan "&amp;TEXT(-$G$235,"0,00%")&amp;" persen dibandingkan realisasi "&amp;Input!$M$25&amp;". ")))&amp;IF(E235=F235,"",IF(E235&gt;F235,$L$221,IF(E235&lt;F235,$L$221)))</f>
        <v>Realisasi Belanja Modal Jalan, Irigasi dan Jaringan 31 Desember 2019 dan 31 Desember 2018 adalah masing-masing sebesar Rp0 dan Rp0. Realisasi Belanja Modal Jalan, Irigasi dan Jaringan 31 Desember 2019 tidak mengalami perubahan / Nihil.</v>
      </c>
      <c r="D221" s="2244"/>
      <c r="E221" s="2244"/>
      <c r="F221" s="2244"/>
      <c r="G221" s="2244"/>
      <c r="H221" s="2244"/>
      <c r="I221" s="511"/>
      <c r="J221" s="2317" t="s">
        <v>1131</v>
      </c>
      <c r="K221" s="2320" t="s">
        <v>8</v>
      </c>
      <c r="L221" s="2323" t="s">
        <v>2043</v>
      </c>
      <c r="M221" s="2324"/>
      <c r="N221" s="2324"/>
      <c r="O221" s="2324"/>
      <c r="P221" s="2324"/>
      <c r="Q221" s="2324"/>
      <c r="R221" s="2324"/>
      <c r="S221" s="2324"/>
      <c r="T221" s="2324"/>
      <c r="U221" s="2324"/>
      <c r="V221" s="2325"/>
      <c r="W221" s="519"/>
    </row>
    <row r="222" spans="1:23" s="492" customFormat="1" ht="13.5" customHeight="1" x14ac:dyDescent="0.45">
      <c r="A222" s="2304"/>
      <c r="B222" s="849"/>
      <c r="C222" s="2244"/>
      <c r="D222" s="2244"/>
      <c r="E222" s="2244"/>
      <c r="F222" s="2244"/>
      <c r="G222" s="2244"/>
      <c r="H222" s="2244"/>
      <c r="I222" s="505"/>
      <c r="J222" s="2318"/>
      <c r="K222" s="2321"/>
      <c r="L222" s="2326"/>
      <c r="M222" s="2326"/>
      <c r="N222" s="2326"/>
      <c r="O222" s="2326"/>
      <c r="P222" s="2326"/>
      <c r="Q222" s="2326"/>
      <c r="R222" s="2326"/>
      <c r="S222" s="2326"/>
      <c r="T222" s="2326"/>
      <c r="U222" s="2326"/>
      <c r="V222" s="2327"/>
      <c r="W222" s="519"/>
    </row>
    <row r="223" spans="1:23" s="492" customFormat="1" ht="13.5" customHeight="1" x14ac:dyDescent="0.45">
      <c r="A223" s="2304"/>
      <c r="B223" s="849"/>
      <c r="C223" s="2244"/>
      <c r="D223" s="2244"/>
      <c r="E223" s="2244"/>
      <c r="F223" s="2244"/>
      <c r="G223" s="2244"/>
      <c r="H223" s="2244"/>
      <c r="I223" s="505"/>
      <c r="J223" s="2318"/>
      <c r="K223" s="2321"/>
      <c r="L223" s="2326"/>
      <c r="M223" s="2326"/>
      <c r="N223" s="2326"/>
      <c r="O223" s="2326"/>
      <c r="P223" s="2326"/>
      <c r="Q223" s="2326"/>
      <c r="R223" s="2326"/>
      <c r="S223" s="2326"/>
      <c r="T223" s="2326"/>
      <c r="U223" s="2326"/>
      <c r="V223" s="2327"/>
      <c r="W223" s="519"/>
    </row>
    <row r="224" spans="1:23" s="492" customFormat="1" ht="15.75" customHeight="1" x14ac:dyDescent="0.45">
      <c r="A224" s="2304"/>
      <c r="B224" s="849"/>
      <c r="C224" s="2244"/>
      <c r="D224" s="2244"/>
      <c r="E224" s="2244"/>
      <c r="F224" s="2244"/>
      <c r="G224" s="2244"/>
      <c r="H224" s="2244"/>
      <c r="I224" s="505"/>
      <c r="J224" s="2319"/>
      <c r="K224" s="2322"/>
      <c r="L224" s="2328"/>
      <c r="M224" s="2328"/>
      <c r="N224" s="2328"/>
      <c r="O224" s="2328"/>
      <c r="P224" s="2328"/>
      <c r="Q224" s="2328"/>
      <c r="R224" s="2328"/>
      <c r="S224" s="2328"/>
      <c r="T224" s="2328"/>
      <c r="U224" s="2328"/>
      <c r="V224" s="2329"/>
      <c r="W224" s="519"/>
    </row>
    <row r="225" spans="1:23" s="492" customFormat="1" ht="9" customHeight="1" x14ac:dyDescent="0.45">
      <c r="A225" s="2304"/>
      <c r="B225" s="849"/>
      <c r="C225" s="893"/>
      <c r="D225" s="893"/>
      <c r="E225" s="893"/>
      <c r="F225" s="893"/>
      <c r="G225" s="893"/>
      <c r="H225" s="893"/>
      <c r="I225" s="505"/>
      <c r="J225" s="529"/>
      <c r="K225" s="529"/>
      <c r="L225" s="529"/>
      <c r="M225" s="529"/>
      <c r="N225" s="529"/>
      <c r="O225" s="529"/>
      <c r="P225" s="529"/>
      <c r="Q225" s="529"/>
      <c r="R225" s="529"/>
      <c r="S225" s="529"/>
      <c r="T225" s="529"/>
      <c r="U225" s="529"/>
      <c r="V225" s="529"/>
      <c r="W225" s="519"/>
    </row>
    <row r="226" spans="1:23" s="492" customFormat="1" ht="15.75" customHeight="1" x14ac:dyDescent="0.45">
      <c r="A226" s="894"/>
      <c r="B226" s="849"/>
      <c r="C226" s="2338" t="str">
        <f>"Perbandingan Belanja Modal Jalan, Irigasi, dan Jaringan "&amp;Input!$M$24&amp;" dan  "&amp;Input!$M$25</f>
        <v>Perbandingan Belanja Modal Jalan, Irigasi, dan Jaringan 31 Desember 2019 dan  31 Desember 2018</v>
      </c>
      <c r="D226" s="2338"/>
      <c r="E226" s="2338"/>
      <c r="F226" s="2338"/>
      <c r="G226" s="2338"/>
      <c r="H226" s="893"/>
      <c r="I226" s="505"/>
      <c r="J226" s="529"/>
      <c r="K226" s="529"/>
      <c r="L226" s="529"/>
      <c r="M226" s="529"/>
      <c r="N226" s="529"/>
      <c r="O226" s="529"/>
      <c r="P226" s="529"/>
      <c r="Q226" s="529"/>
      <c r="R226" s="529"/>
      <c r="S226" s="529"/>
      <c r="T226" s="529"/>
      <c r="U226" s="529"/>
      <c r="V226" s="529"/>
      <c r="W226" s="519"/>
    </row>
    <row r="227" spans="1:23" s="492" customFormat="1" ht="15.75" customHeight="1" x14ac:dyDescent="0.45">
      <c r="A227" s="894"/>
      <c r="B227" s="849"/>
      <c r="C227" s="2268" t="s">
        <v>45</v>
      </c>
      <c r="D227" s="2269"/>
      <c r="E227" s="2348" t="s">
        <v>46</v>
      </c>
      <c r="F227" s="2348" t="s">
        <v>46</v>
      </c>
      <c r="G227" s="864" t="s">
        <v>1840</v>
      </c>
      <c r="H227" s="893"/>
      <c r="I227" s="505"/>
      <c r="J227" s="529"/>
      <c r="K227" s="529"/>
      <c r="L227" s="529"/>
      <c r="M227" s="529"/>
      <c r="N227" s="529"/>
      <c r="O227" s="529"/>
      <c r="P227" s="530"/>
      <c r="Q227" s="530"/>
      <c r="R227" s="530"/>
      <c r="S227" s="530"/>
      <c r="T227" s="530"/>
      <c r="U227" s="530"/>
      <c r="V227" s="530"/>
      <c r="W227" s="519"/>
    </row>
    <row r="228" spans="1:23" s="492" customFormat="1" ht="15.75" customHeight="1" x14ac:dyDescent="0.45">
      <c r="A228" s="894"/>
      <c r="B228" s="849"/>
      <c r="C228" s="2330"/>
      <c r="D228" s="2331"/>
      <c r="E228" s="2349"/>
      <c r="F228" s="2349"/>
      <c r="G228" s="866" t="s">
        <v>1841</v>
      </c>
      <c r="H228" s="893"/>
      <c r="I228" s="505"/>
      <c r="J228" s="529"/>
      <c r="K228" s="529"/>
      <c r="L228" s="529"/>
      <c r="M228" s="529"/>
      <c r="N228" s="529"/>
      <c r="O228" s="529"/>
      <c r="P228" s="530"/>
      <c r="Q228" s="530"/>
      <c r="R228" s="530"/>
      <c r="S228" s="530"/>
      <c r="T228" s="530"/>
      <c r="U228" s="530"/>
      <c r="V228" s="530"/>
      <c r="W228" s="519"/>
    </row>
    <row r="229" spans="1:23" s="492" customFormat="1" ht="15.75" customHeight="1" x14ac:dyDescent="0.45">
      <c r="A229" s="894"/>
      <c r="B229" s="849"/>
      <c r="C229" s="2270"/>
      <c r="D229" s="2271"/>
      <c r="E229" s="841" t="str">
        <f>Input!$M$24</f>
        <v>31 Desember 2019</v>
      </c>
      <c r="F229" s="841" t="str">
        <f>Input!$M$25</f>
        <v>31 Desember 2018</v>
      </c>
      <c r="G229" s="867" t="s">
        <v>47</v>
      </c>
      <c r="H229" s="893"/>
      <c r="I229" s="505"/>
      <c r="J229" s="529"/>
      <c r="K229" s="529"/>
      <c r="L229" s="529"/>
      <c r="M229" s="529"/>
      <c r="N229" s="529"/>
      <c r="O229" s="529"/>
      <c r="P229" s="530"/>
      <c r="Q229" s="530"/>
      <c r="R229" s="530"/>
      <c r="S229" s="530"/>
      <c r="T229" s="530"/>
      <c r="U229" s="530"/>
      <c r="V229" s="530"/>
      <c r="W229" s="519"/>
    </row>
    <row r="230" spans="1:23" s="492" customFormat="1" ht="15.75" customHeight="1" x14ac:dyDescent="0.45">
      <c r="A230" s="894"/>
      <c r="B230" s="849"/>
      <c r="C230" s="2314"/>
      <c r="D230" s="2315"/>
      <c r="E230" s="1388"/>
      <c r="F230" s="1387"/>
      <c r="G230" s="870">
        <f>IF(ISERROR((E230-F230)/F230),0,((E230-F230)/F230))</f>
        <v>0</v>
      </c>
      <c r="H230" s="893"/>
      <c r="I230" s="513"/>
      <c r="J230" s="2467" t="s">
        <v>2044</v>
      </c>
      <c r="K230" s="2468"/>
      <c r="L230" s="2468"/>
      <c r="M230" s="2468"/>
      <c r="N230" s="2468"/>
      <c r="O230" s="2468"/>
      <c r="P230" s="2468"/>
      <c r="Q230" s="2468"/>
      <c r="R230" s="2468"/>
      <c r="S230" s="2468"/>
      <c r="T230" s="2468"/>
      <c r="U230" s="2468"/>
      <c r="V230" s="2469"/>
      <c r="W230" s="519"/>
    </row>
    <row r="231" spans="1:23" s="492" customFormat="1" ht="30.75" customHeight="1" x14ac:dyDescent="0.45">
      <c r="A231" s="894"/>
      <c r="B231" s="849"/>
      <c r="C231" s="2314"/>
      <c r="D231" s="2315"/>
      <c r="E231" s="1388"/>
      <c r="F231" s="1387"/>
      <c r="G231" s="870">
        <f t="shared" ref="G231:G235" si="11">IF(ISERROR((E231-F231)/F231),0,((E231-F231)/F231))</f>
        <v>0</v>
      </c>
      <c r="H231" s="893"/>
      <c r="I231" s="513"/>
      <c r="J231" s="2470"/>
      <c r="K231" s="2471"/>
      <c r="L231" s="2471"/>
      <c r="M231" s="2471"/>
      <c r="N231" s="2471"/>
      <c r="O231" s="2471"/>
      <c r="P231" s="2471"/>
      <c r="Q231" s="2471"/>
      <c r="R231" s="2471"/>
      <c r="S231" s="2471"/>
      <c r="T231" s="2471"/>
      <c r="U231" s="2471"/>
      <c r="V231" s="2472"/>
      <c r="W231" s="519"/>
    </row>
    <row r="232" spans="1:23" s="492" customFormat="1" x14ac:dyDescent="0.45">
      <c r="A232" s="894"/>
      <c r="B232" s="849"/>
      <c r="C232" s="2344"/>
      <c r="D232" s="2345"/>
      <c r="E232" s="1388"/>
      <c r="F232" s="1387"/>
      <c r="G232" s="870">
        <f t="shared" si="11"/>
        <v>0</v>
      </c>
      <c r="H232" s="893"/>
      <c r="I232" s="505"/>
      <c r="J232" s="2470"/>
      <c r="K232" s="2471"/>
      <c r="L232" s="2471"/>
      <c r="M232" s="2471"/>
      <c r="N232" s="2471"/>
      <c r="O232" s="2471"/>
      <c r="P232" s="2471"/>
      <c r="Q232" s="2471"/>
      <c r="R232" s="2471"/>
      <c r="S232" s="2471"/>
      <c r="T232" s="2471"/>
      <c r="U232" s="2471"/>
      <c r="V232" s="2472"/>
      <c r="W232" s="519"/>
    </row>
    <row r="233" spans="1:23" s="492" customFormat="1" ht="15.75" customHeight="1" x14ac:dyDescent="0.45">
      <c r="A233" s="894"/>
      <c r="B233" s="849"/>
      <c r="C233" s="2332" t="s">
        <v>1845</v>
      </c>
      <c r="D233" s="2333"/>
      <c r="E233" s="1388">
        <f>SUM(E230:E232)</f>
        <v>0</v>
      </c>
      <c r="F233" s="1387">
        <f>SUM(F230:F232)</f>
        <v>0</v>
      </c>
      <c r="G233" s="870">
        <f t="shared" si="11"/>
        <v>0</v>
      </c>
      <c r="H233" s="893"/>
      <c r="I233" s="505"/>
      <c r="J233" s="2470"/>
      <c r="K233" s="2471"/>
      <c r="L233" s="2471"/>
      <c r="M233" s="2471"/>
      <c r="N233" s="2471"/>
      <c r="O233" s="2471"/>
      <c r="P233" s="2471"/>
      <c r="Q233" s="2471"/>
      <c r="R233" s="2471"/>
      <c r="S233" s="2471"/>
      <c r="T233" s="2471"/>
      <c r="U233" s="2471"/>
      <c r="V233" s="2472"/>
      <c r="W233" s="519"/>
    </row>
    <row r="234" spans="1:23" s="492" customFormat="1" ht="15.75" customHeight="1" x14ac:dyDescent="0.45">
      <c r="A234" s="894"/>
      <c r="B234" s="849"/>
      <c r="C234" s="2334" t="s">
        <v>1846</v>
      </c>
      <c r="D234" s="2335"/>
      <c r="E234" s="1388">
        <v>0</v>
      </c>
      <c r="F234" s="1387">
        <v>0</v>
      </c>
      <c r="G234" s="870">
        <f t="shared" si="11"/>
        <v>0</v>
      </c>
      <c r="H234" s="893"/>
      <c r="I234" s="505"/>
      <c r="J234" s="2470"/>
      <c r="K234" s="2471"/>
      <c r="L234" s="2471"/>
      <c r="M234" s="2471"/>
      <c r="N234" s="2471"/>
      <c r="O234" s="2471"/>
      <c r="P234" s="2471"/>
      <c r="Q234" s="2471"/>
      <c r="R234" s="2471"/>
      <c r="S234" s="2471"/>
      <c r="T234" s="2471"/>
      <c r="U234" s="2471"/>
      <c r="V234" s="2472"/>
      <c r="W234" s="519"/>
    </row>
    <row r="235" spans="1:23" s="492" customFormat="1" ht="15.75" customHeight="1" x14ac:dyDescent="0.45">
      <c r="A235" s="894"/>
      <c r="B235" s="849"/>
      <c r="C235" s="2272" t="s">
        <v>1843</v>
      </c>
      <c r="D235" s="2273"/>
      <c r="E235" s="1389">
        <f>E233-E234</f>
        <v>0</v>
      </c>
      <c r="F235" s="1389">
        <f>F233-F234</f>
        <v>0</v>
      </c>
      <c r="G235" s="1132">
        <f t="shared" si="11"/>
        <v>0</v>
      </c>
      <c r="H235" s="893"/>
      <c r="I235" s="505"/>
      <c r="J235" s="2473"/>
      <c r="K235" s="2474"/>
      <c r="L235" s="2474"/>
      <c r="M235" s="2474"/>
      <c r="N235" s="2474"/>
      <c r="O235" s="2474"/>
      <c r="P235" s="2474"/>
      <c r="Q235" s="2474"/>
      <c r="R235" s="2474"/>
      <c r="S235" s="2474"/>
      <c r="T235" s="2474"/>
      <c r="U235" s="2474"/>
      <c r="V235" s="2475"/>
      <c r="W235" s="519"/>
    </row>
    <row r="236" spans="1:23" ht="15.75" customHeight="1" x14ac:dyDescent="0.45">
      <c r="A236" s="894"/>
      <c r="B236" s="849"/>
      <c r="C236" s="893"/>
      <c r="D236" s="893"/>
      <c r="E236" s="893"/>
      <c r="F236" s="893"/>
      <c r="G236" s="893"/>
      <c r="H236" s="893"/>
      <c r="J236" s="1381" t="s">
        <v>1123</v>
      </c>
      <c r="K236" s="1382" t="s">
        <v>8</v>
      </c>
      <c r="L236" s="2485" t="s">
        <v>2038</v>
      </c>
      <c r="M236" s="2486"/>
      <c r="N236" s="2486"/>
      <c r="O236" s="2486"/>
      <c r="P236" s="2486"/>
      <c r="Q236" s="2486"/>
      <c r="R236" s="2486"/>
      <c r="S236" s="2486"/>
      <c r="T236" s="2486"/>
      <c r="U236" s="2486"/>
      <c r="V236" s="2487"/>
    </row>
    <row r="237" spans="1:23" s="492" customFormat="1" ht="15.75" customHeight="1" x14ac:dyDescent="0.45">
      <c r="A237" s="2303" t="str">
        <f>"Belanja Modal Lainnya "&amp;TEXT($E$249,"Rp#.##0")</f>
        <v>Belanja Modal Lainnya Rp0</v>
      </c>
      <c r="B237" s="890"/>
      <c r="C237" s="741" t="s">
        <v>2015</v>
      </c>
      <c r="D237" s="891"/>
      <c r="E237" s="891"/>
      <c r="F237" s="891"/>
      <c r="G237" s="891"/>
      <c r="H237" s="891"/>
      <c r="I237" s="505"/>
      <c r="J237" s="2316" t="s">
        <v>2047</v>
      </c>
      <c r="K237" s="2316"/>
      <c r="L237" s="2316"/>
      <c r="M237" s="2316"/>
      <c r="N237" s="2316"/>
      <c r="O237" s="2316"/>
      <c r="P237" s="2316"/>
      <c r="Q237" s="2316"/>
      <c r="R237" s="2316"/>
      <c r="S237" s="2316"/>
      <c r="T237" s="2316"/>
      <c r="U237" s="2316"/>
      <c r="V237" s="2316"/>
      <c r="W237" s="519"/>
    </row>
    <row r="238" spans="1:23" s="492" customFormat="1" ht="15.75" customHeight="1" x14ac:dyDescent="0.4">
      <c r="A238" s="2304"/>
      <c r="B238" s="849"/>
      <c r="C238" s="2244" t="str">
        <f>"Realisasi Belanja Modal Lainnya "&amp;Input!$M$24&amp;" dan "&amp;Input!$M$25&amp;" adalah masing-masing sebesar "&amp;TEXT($E$249,"Rp#.##0")&amp;" dan "&amp;TEXT($F$249,"Rp#.##0")&amp;". Realisasi Belanja Modal Lainnya "&amp;Input!$M$24&amp;" "&amp;IF(E249=F249,$L$236,IF(E249&gt;F249,"mengalami kenaikan "&amp;TEXT($G$249,"0,00%")&amp;" persen dibandingkan realisasi "&amp;Input!$M$25&amp;". ",IF(E249&lt;F249," mengalami penurunan "&amp;TEXT(-$G$249,"0,00%")&amp;" persen dibandingkan realisasi "&amp;Input!$M$25&amp;". ")))&amp;IF(E249=F249,"",IF(E249&gt;F249,$M$238,IF(E249&lt;F249,$M$238)))</f>
        <v>Realisasi Belanja Modal Lainnya 31 Desember 2019 dan 31 Desember 2018 adalah masing-masing sebesar Rp0 dan Rp0. Realisasi Belanja Modal Lainnya 31 Desember 2019 tidak mengalami perubahan / Nihil.</v>
      </c>
      <c r="D238" s="2244"/>
      <c r="E238" s="2244"/>
      <c r="F238" s="2244"/>
      <c r="G238" s="2244"/>
      <c r="H238" s="2244"/>
      <c r="I238" s="511"/>
      <c r="J238" s="2317" t="s">
        <v>1131</v>
      </c>
      <c r="K238" s="2320" t="s">
        <v>8</v>
      </c>
      <c r="L238" s="2323"/>
      <c r="M238" s="2324"/>
      <c r="N238" s="2324"/>
      <c r="O238" s="2324"/>
      <c r="P238" s="2324"/>
      <c r="Q238" s="2324"/>
      <c r="R238" s="2324"/>
      <c r="S238" s="2324"/>
      <c r="T238" s="2324"/>
      <c r="U238" s="2324"/>
      <c r="V238" s="2325"/>
      <c r="W238" s="519"/>
    </row>
    <row r="239" spans="1:23" s="492" customFormat="1" ht="13.5" customHeight="1" x14ac:dyDescent="0.45">
      <c r="A239" s="2304"/>
      <c r="B239" s="849"/>
      <c r="C239" s="2244"/>
      <c r="D239" s="2244"/>
      <c r="E239" s="2244"/>
      <c r="F239" s="2244"/>
      <c r="G239" s="2244"/>
      <c r="H239" s="2244"/>
      <c r="I239" s="505"/>
      <c r="J239" s="2318"/>
      <c r="K239" s="2321"/>
      <c r="L239" s="2326"/>
      <c r="M239" s="2326"/>
      <c r="N239" s="2326"/>
      <c r="O239" s="2326"/>
      <c r="P239" s="2326"/>
      <c r="Q239" s="2326"/>
      <c r="R239" s="2326"/>
      <c r="S239" s="2326"/>
      <c r="T239" s="2326"/>
      <c r="U239" s="2326"/>
      <c r="V239" s="2327"/>
      <c r="W239" s="519"/>
    </row>
    <row r="240" spans="1:23" s="492" customFormat="1" ht="26.25" customHeight="1" x14ac:dyDescent="0.45">
      <c r="A240" s="2304"/>
      <c r="B240" s="849"/>
      <c r="C240" s="2244"/>
      <c r="D240" s="2244"/>
      <c r="E240" s="2244"/>
      <c r="F240" s="2244"/>
      <c r="G240" s="2244"/>
      <c r="H240" s="2244"/>
      <c r="I240" s="505"/>
      <c r="J240" s="2319"/>
      <c r="K240" s="2322"/>
      <c r="L240" s="2328"/>
      <c r="M240" s="2328"/>
      <c r="N240" s="2328"/>
      <c r="O240" s="2328"/>
      <c r="P240" s="2328"/>
      <c r="Q240" s="2328"/>
      <c r="R240" s="2328"/>
      <c r="S240" s="2328"/>
      <c r="T240" s="2328"/>
      <c r="U240" s="2328"/>
      <c r="V240" s="2329"/>
      <c r="W240" s="519"/>
    </row>
    <row r="241" spans="1:23" s="492" customFormat="1" ht="10.5" customHeight="1" x14ac:dyDescent="0.45">
      <c r="A241" s="2304"/>
      <c r="B241" s="849"/>
      <c r="C241" s="893"/>
      <c r="D241" s="893"/>
      <c r="E241" s="893"/>
      <c r="F241" s="893"/>
      <c r="G241" s="893"/>
      <c r="H241" s="893"/>
      <c r="I241" s="505"/>
      <c r="J241" s="529"/>
      <c r="K241" s="529"/>
      <c r="L241" s="529"/>
      <c r="M241" s="529"/>
      <c r="N241" s="529"/>
      <c r="O241" s="529"/>
      <c r="P241" s="529"/>
      <c r="Q241" s="529"/>
      <c r="R241" s="529"/>
      <c r="S241" s="529"/>
      <c r="T241" s="529"/>
      <c r="U241" s="529"/>
      <c r="V241" s="529"/>
      <c r="W241" s="519"/>
    </row>
    <row r="242" spans="1:23" s="492" customFormat="1" ht="15.75" customHeight="1" x14ac:dyDescent="0.45">
      <c r="A242" s="895"/>
      <c r="B242" s="849"/>
      <c r="C242" s="2338" t="str">
        <f>"Perbandingan Belanja Modal Lainnya "&amp;Input!$M$24&amp;" dan  "&amp;Input!$M$25</f>
        <v>Perbandingan Belanja Modal Lainnya 31 Desember 2019 dan  31 Desember 2018</v>
      </c>
      <c r="D242" s="2338"/>
      <c r="E242" s="2338"/>
      <c r="F242" s="2338"/>
      <c r="G242" s="2338"/>
      <c r="H242" s="893"/>
      <c r="I242" s="505"/>
      <c r="J242" s="529"/>
      <c r="K242" s="529"/>
      <c r="L242" s="529"/>
      <c r="M242" s="529"/>
      <c r="N242" s="529"/>
      <c r="O242" s="529"/>
      <c r="P242" s="529"/>
      <c r="Q242" s="529"/>
      <c r="R242" s="529"/>
      <c r="S242" s="529"/>
      <c r="T242" s="529"/>
      <c r="U242" s="529"/>
      <c r="V242" s="529"/>
      <c r="W242" s="519"/>
    </row>
    <row r="243" spans="1:23" s="492" customFormat="1" ht="15.75" customHeight="1" x14ac:dyDescent="0.45">
      <c r="A243" s="895"/>
      <c r="B243" s="849"/>
      <c r="C243" s="2268" t="s">
        <v>45</v>
      </c>
      <c r="D243" s="2269"/>
      <c r="E243" s="2346" t="s">
        <v>46</v>
      </c>
      <c r="F243" s="2346" t="s">
        <v>46</v>
      </c>
      <c r="G243" s="864" t="s">
        <v>1840</v>
      </c>
      <c r="H243" s="893"/>
      <c r="I243" s="505"/>
      <c r="J243" s="529"/>
      <c r="K243" s="529"/>
      <c r="L243" s="529"/>
      <c r="M243" s="529"/>
      <c r="N243" s="529"/>
      <c r="O243" s="529"/>
      <c r="P243" s="529"/>
      <c r="Q243" s="529"/>
      <c r="R243" s="529"/>
      <c r="S243" s="529"/>
      <c r="T243" s="529"/>
      <c r="U243" s="529"/>
      <c r="V243" s="529"/>
      <c r="W243" s="519"/>
    </row>
    <row r="244" spans="1:23" s="492" customFormat="1" ht="15.75" customHeight="1" x14ac:dyDescent="0.45">
      <c r="A244" s="895"/>
      <c r="B244" s="849"/>
      <c r="C244" s="2330"/>
      <c r="D244" s="2331"/>
      <c r="E244" s="2347"/>
      <c r="F244" s="2347"/>
      <c r="G244" s="866" t="s">
        <v>1841</v>
      </c>
      <c r="H244" s="893"/>
      <c r="I244" s="505"/>
      <c r="J244" s="529"/>
      <c r="K244" s="529"/>
      <c r="L244" s="529"/>
      <c r="M244" s="529"/>
      <c r="N244" s="529"/>
      <c r="O244" s="529"/>
      <c r="P244" s="530"/>
      <c r="Q244" s="530"/>
      <c r="R244" s="530"/>
      <c r="S244" s="530"/>
      <c r="T244" s="530"/>
      <c r="U244" s="530"/>
      <c r="V244" s="530"/>
      <c r="W244" s="519"/>
    </row>
    <row r="245" spans="1:23" s="492" customFormat="1" ht="15.75" customHeight="1" x14ac:dyDescent="0.45">
      <c r="A245" s="895"/>
      <c r="B245" s="849"/>
      <c r="C245" s="2270"/>
      <c r="D245" s="2271"/>
      <c r="E245" s="841" t="str">
        <f>Input!$M$24</f>
        <v>31 Desember 2019</v>
      </c>
      <c r="F245" s="841" t="str">
        <f>Input!$M$25</f>
        <v>31 Desember 2018</v>
      </c>
      <c r="G245" s="867" t="s">
        <v>47</v>
      </c>
      <c r="H245" s="893"/>
      <c r="I245" s="505"/>
      <c r="J245" s="529"/>
      <c r="K245" s="529"/>
      <c r="L245" s="529"/>
      <c r="M245" s="529"/>
      <c r="N245" s="529"/>
      <c r="O245" s="529"/>
      <c r="P245" s="530"/>
      <c r="Q245" s="530"/>
      <c r="R245" s="530"/>
      <c r="S245" s="530"/>
      <c r="T245" s="530"/>
      <c r="U245" s="530"/>
      <c r="V245" s="530"/>
      <c r="W245" s="519"/>
    </row>
    <row r="246" spans="1:23" s="492" customFormat="1" ht="15.75" customHeight="1" x14ac:dyDescent="0.45">
      <c r="A246" s="895"/>
      <c r="B246" s="849"/>
      <c r="C246" s="2342" t="s">
        <v>1672</v>
      </c>
      <c r="D246" s="2343"/>
      <c r="E246" s="1388">
        <f>E168</f>
        <v>0</v>
      </c>
      <c r="F246" s="1387">
        <f>F168</f>
        <v>0</v>
      </c>
      <c r="G246" s="870">
        <f>IF(ISERROR((E246-F246)/F246),0,((E246-F246)/F246))</f>
        <v>0</v>
      </c>
      <c r="H246" s="893"/>
      <c r="I246" s="513"/>
      <c r="J246" s="2467" t="s">
        <v>2048</v>
      </c>
      <c r="K246" s="2468"/>
      <c r="L246" s="2468"/>
      <c r="M246" s="2468"/>
      <c r="N246" s="2468"/>
      <c r="O246" s="2468"/>
      <c r="P246" s="2468"/>
      <c r="Q246" s="2468"/>
      <c r="R246" s="2468"/>
      <c r="S246" s="2468"/>
      <c r="T246" s="2468"/>
      <c r="U246" s="2468"/>
      <c r="V246" s="2469"/>
      <c r="W246" s="519"/>
    </row>
    <row r="247" spans="1:23" s="492" customFormat="1" ht="15.75" customHeight="1" x14ac:dyDescent="0.45">
      <c r="A247" s="895"/>
      <c r="B247" s="849"/>
      <c r="C247" s="2332" t="s">
        <v>1845</v>
      </c>
      <c r="D247" s="2333"/>
      <c r="E247" s="1388">
        <f>SUM(E246:E246)</f>
        <v>0</v>
      </c>
      <c r="F247" s="1387">
        <f>SUM(F246:F246)</f>
        <v>0</v>
      </c>
      <c r="G247" s="870">
        <f>IF(ISERROR((E247-F247)/F247),0,((E247-F247)/F247))</f>
        <v>0</v>
      </c>
      <c r="H247" s="893"/>
      <c r="I247" s="505"/>
      <c r="J247" s="2470"/>
      <c r="K247" s="2471"/>
      <c r="L247" s="2471"/>
      <c r="M247" s="2471"/>
      <c r="N247" s="2471"/>
      <c r="O247" s="2471"/>
      <c r="P247" s="2471"/>
      <c r="Q247" s="2471"/>
      <c r="R247" s="2471"/>
      <c r="S247" s="2471"/>
      <c r="T247" s="2471"/>
      <c r="U247" s="2471"/>
      <c r="V247" s="2472"/>
      <c r="W247" s="519"/>
    </row>
    <row r="248" spans="1:23" s="492" customFormat="1" ht="15.75" customHeight="1" x14ac:dyDescent="0.45">
      <c r="A248" s="895"/>
      <c r="B248" s="849"/>
      <c r="C248" s="2334" t="s">
        <v>1846</v>
      </c>
      <c r="D248" s="2335"/>
      <c r="E248" s="1388"/>
      <c r="F248" s="1387"/>
      <c r="G248" s="870">
        <f>IF(ISERROR((E248-F248)/F248),0,((E248-F248)/F248))</f>
        <v>0</v>
      </c>
      <c r="H248" s="893"/>
      <c r="I248" s="505"/>
      <c r="J248" s="2470"/>
      <c r="K248" s="2471"/>
      <c r="L248" s="2471"/>
      <c r="M248" s="2471"/>
      <c r="N248" s="2471"/>
      <c r="O248" s="2471"/>
      <c r="P248" s="2471"/>
      <c r="Q248" s="2471"/>
      <c r="R248" s="2471"/>
      <c r="S248" s="2471"/>
      <c r="T248" s="2471"/>
      <c r="U248" s="2471"/>
      <c r="V248" s="2472"/>
      <c r="W248" s="519"/>
    </row>
    <row r="249" spans="1:23" s="492" customFormat="1" ht="15.75" customHeight="1" x14ac:dyDescent="0.45">
      <c r="A249" s="895"/>
      <c r="B249" s="849"/>
      <c r="C249" s="2272" t="s">
        <v>1843</v>
      </c>
      <c r="D249" s="2273"/>
      <c r="E249" s="1389">
        <f>E247-E248</f>
        <v>0</v>
      </c>
      <c r="F249" s="1389">
        <f>F247-F248</f>
        <v>0</v>
      </c>
      <c r="G249" s="879">
        <f>IF(ISERROR((E249-F249)/F249),0,((E249-F249)/F249))</f>
        <v>0</v>
      </c>
      <c r="H249" s="893"/>
      <c r="I249" s="505"/>
      <c r="J249" s="2473"/>
      <c r="K249" s="2474"/>
      <c r="L249" s="2474"/>
      <c r="M249" s="2474"/>
      <c r="N249" s="2474"/>
      <c r="O249" s="2474"/>
      <c r="P249" s="2474"/>
      <c r="Q249" s="2474"/>
      <c r="R249" s="2474"/>
      <c r="S249" s="2474"/>
      <c r="T249" s="2474"/>
      <c r="U249" s="2474"/>
      <c r="V249" s="2475"/>
      <c r="W249" s="519"/>
    </row>
    <row r="250" spans="1:23" s="492" customFormat="1" ht="15.75" customHeight="1" x14ac:dyDescent="0.45">
      <c r="A250" s="496"/>
      <c r="B250" s="488"/>
      <c r="C250" s="494"/>
      <c r="D250" s="494"/>
      <c r="E250" s="494"/>
      <c r="F250" s="494"/>
      <c r="G250" s="494"/>
      <c r="H250" s="494"/>
      <c r="I250" s="505"/>
      <c r="J250" s="529"/>
      <c r="K250" s="529"/>
      <c r="L250" s="529"/>
      <c r="M250" s="529"/>
      <c r="N250" s="529"/>
      <c r="O250" s="529"/>
      <c r="P250" s="530"/>
      <c r="Q250" s="530"/>
      <c r="R250" s="530"/>
      <c r="S250" s="530"/>
      <c r="T250" s="530"/>
      <c r="U250" s="530"/>
      <c r="V250" s="530"/>
      <c r="W250" s="519"/>
    </row>
    <row r="251" spans="1:23" s="492" customFormat="1" ht="15.75" customHeight="1" x14ac:dyDescent="0.45">
      <c r="A251" s="2303" t="str">
        <f>"Belanja Bantuan Sosial "&amp;TEXT($E$274,"Rp#.##0")</f>
        <v>Belanja Bantuan Sosial Rp0</v>
      </c>
      <c r="B251" s="890"/>
      <c r="C251" s="741" t="s">
        <v>2016</v>
      </c>
      <c r="D251" s="891"/>
      <c r="E251" s="891"/>
      <c r="F251" s="891"/>
      <c r="G251" s="891"/>
      <c r="H251" s="891"/>
      <c r="I251" s="505"/>
      <c r="J251" s="529"/>
      <c r="K251" s="529"/>
      <c r="L251" s="529"/>
      <c r="M251" s="529"/>
      <c r="N251" s="529"/>
      <c r="O251" s="529"/>
      <c r="P251" s="530"/>
      <c r="Q251" s="530"/>
      <c r="R251" s="530"/>
      <c r="S251" s="530"/>
      <c r="T251" s="530"/>
      <c r="U251" s="530"/>
      <c r="V251" s="530"/>
      <c r="W251" s="519"/>
    </row>
    <row r="252" spans="1:23" x14ac:dyDescent="0.45">
      <c r="A252" s="2304"/>
      <c r="B252" s="849"/>
      <c r="C252" s="2192" t="str">
        <f>"Realisasi Belanja Bantuan Sosial "&amp;Input!$M$24&amp;" dan "&amp;Input!$M$25&amp;" adalah masing-masing sebesar "&amp;TEXT($E$274,"Rp#.##0")&amp;" dan "&amp;TEXT($F$274,"Rp#.##0")&amp;". Belanja bantuan sosial merupakan belanja pemerintah dalam bentuk uang/barang atau jasa kepada masyarakat untuk menghindari terjadinya risiko sosial dan bersifat selektif. "</f>
        <v xml:space="preserve">Realisasi Belanja Bantuan Sosial 31 Desember 2019 dan 31 Desember 2018 adalah masing-masing sebesar Rp0 dan Rp0. Belanja bantuan sosial merupakan belanja pemerintah dalam bentuk uang/barang atau jasa kepada masyarakat untuk menghindari terjadinya risiko sosial dan bersifat selektif. </v>
      </c>
      <c r="D252" s="2192"/>
      <c r="E252" s="2192"/>
      <c r="F252" s="2192"/>
      <c r="G252" s="2192"/>
      <c r="H252" s="2192"/>
    </row>
    <row r="253" spans="1:23" s="492" customFormat="1" x14ac:dyDescent="0.45">
      <c r="A253" s="2304"/>
      <c r="B253" s="849"/>
      <c r="C253" s="2192"/>
      <c r="D253" s="2192"/>
      <c r="E253" s="2192"/>
      <c r="F253" s="2192"/>
      <c r="G253" s="2192"/>
      <c r="H253" s="2192"/>
      <c r="I253" s="505"/>
      <c r="J253" s="518"/>
      <c r="K253" s="518"/>
      <c r="L253" s="518"/>
      <c r="M253" s="518"/>
      <c r="N253" s="518"/>
      <c r="O253" s="518"/>
      <c r="P253" s="1090"/>
      <c r="Q253" s="1090"/>
      <c r="R253" s="1090"/>
      <c r="S253" s="1090"/>
      <c r="T253" s="1090"/>
      <c r="U253" s="1090"/>
      <c r="V253" s="1090"/>
      <c r="W253" s="1090"/>
    </row>
    <row r="254" spans="1:23" s="492" customFormat="1" ht="16.5" customHeight="1" x14ac:dyDescent="0.45">
      <c r="A254" s="2304"/>
      <c r="B254" s="849"/>
      <c r="C254" s="2192"/>
      <c r="D254" s="2192"/>
      <c r="E254" s="2192"/>
      <c r="F254" s="2192"/>
      <c r="G254" s="2192"/>
      <c r="H254" s="2192"/>
      <c r="I254" s="505"/>
      <c r="J254" s="1003" t="s">
        <v>1123</v>
      </c>
      <c r="K254" s="1004" t="s">
        <v>8</v>
      </c>
      <c r="L254" s="2383" t="s">
        <v>2038</v>
      </c>
      <c r="M254" s="2384"/>
      <c r="N254" s="2384"/>
      <c r="O254" s="2384"/>
      <c r="P254" s="2384"/>
      <c r="Q254" s="2384"/>
      <c r="R254" s="2384"/>
      <c r="S254" s="2384"/>
      <c r="T254" s="2384"/>
      <c r="U254" s="2384"/>
      <c r="V254" s="2385"/>
      <c r="W254" s="1090"/>
    </row>
    <row r="255" spans="1:23" x14ac:dyDescent="0.45">
      <c r="A255" s="2304"/>
      <c r="B255" s="849"/>
      <c r="C255" s="2192"/>
      <c r="D255" s="2192"/>
      <c r="E255" s="2192"/>
      <c r="F255" s="2192"/>
      <c r="G255" s="2192"/>
      <c r="H255" s="2192"/>
      <c r="J255" s="2462" t="s">
        <v>2046</v>
      </c>
      <c r="K255" s="2462"/>
      <c r="L255" s="2462"/>
      <c r="M255" s="2462"/>
      <c r="N255" s="2462"/>
      <c r="O255" s="2462"/>
      <c r="P255" s="2462"/>
      <c r="Q255" s="2462"/>
      <c r="R255" s="2462"/>
      <c r="S255" s="2462"/>
      <c r="T255" s="2462"/>
      <c r="U255" s="2462"/>
      <c r="V255" s="2462"/>
    </row>
    <row r="256" spans="1:23" s="492" customFormat="1" x14ac:dyDescent="0.45">
      <c r="A256" s="1049"/>
      <c r="B256" s="849"/>
      <c r="C256" s="2244" t="str">
        <f>"Realisasi Belanja Bantuan Sosial pada "&amp;Input!$M$24&amp;"  "&amp;IF(E274=F274,$L$254,IF(E274&gt;F274,"mengalami kenaikan sebesar "&amp;TEXT($G$274,"0,00%")&amp;" persen dibandingkan realisasi "&amp;Input!$M$25&amp;". ",IF(E274&lt;F274," mengalami penurunan sebesar "&amp;TEXT(-$G$274,"0,00%")&amp;" persen dibandingkan realisasi "&amp;Input!$M$25&amp;". ")))&amp;IF(E274=F274,"",IF(E274&gt;F274,$L$256,IF(E274&lt;F274,$M$256)))</f>
        <v>Realisasi Belanja Bantuan Sosial pada 31 Desember 2019  tidak mengalami perubahan / Nihil.</v>
      </c>
      <c r="D256" s="2244"/>
      <c r="E256" s="2244"/>
      <c r="F256" s="2244"/>
      <c r="G256" s="2244"/>
      <c r="H256" s="2244"/>
      <c r="I256" s="505"/>
      <c r="J256" s="2317" t="s">
        <v>1131</v>
      </c>
      <c r="K256" s="2320" t="s">
        <v>8</v>
      </c>
      <c r="L256" s="2323" t="s">
        <v>2045</v>
      </c>
      <c r="M256" s="2324"/>
      <c r="N256" s="2324"/>
      <c r="O256" s="2324"/>
      <c r="P256" s="2324"/>
      <c r="Q256" s="2324"/>
      <c r="R256" s="2324"/>
      <c r="S256" s="2324"/>
      <c r="T256" s="2324"/>
      <c r="U256" s="2324"/>
      <c r="V256" s="2325"/>
      <c r="W256" s="1048"/>
    </row>
    <row r="257" spans="1:23" s="492" customFormat="1" x14ac:dyDescent="0.45">
      <c r="A257" s="1087"/>
      <c r="B257" s="849"/>
      <c r="C257" s="2244"/>
      <c r="D257" s="2244"/>
      <c r="E257" s="2244"/>
      <c r="F257" s="2244"/>
      <c r="G257" s="2244"/>
      <c r="H257" s="2244"/>
      <c r="I257" s="505"/>
      <c r="J257" s="2318"/>
      <c r="K257" s="2386"/>
      <c r="L257" s="2488"/>
      <c r="M257" s="2326"/>
      <c r="N257" s="2326"/>
      <c r="O257" s="2326"/>
      <c r="P257" s="2326"/>
      <c r="Q257" s="2326"/>
      <c r="R257" s="2326"/>
      <c r="S257" s="2326"/>
      <c r="T257" s="2326"/>
      <c r="U257" s="2326"/>
      <c r="V257" s="2327"/>
      <c r="W257" s="1090"/>
    </row>
    <row r="258" spans="1:23" s="492" customFormat="1" ht="4.5" customHeight="1" x14ac:dyDescent="0.45">
      <c r="A258" s="1049"/>
      <c r="B258" s="849"/>
      <c r="C258" s="2244"/>
      <c r="D258" s="2244"/>
      <c r="E258" s="2244"/>
      <c r="F258" s="2244"/>
      <c r="G258" s="2244"/>
      <c r="H258" s="2244"/>
      <c r="I258" s="505"/>
      <c r="J258" s="2318"/>
      <c r="K258" s="2321"/>
      <c r="L258" s="2326"/>
      <c r="M258" s="2326"/>
      <c r="N258" s="2326"/>
      <c r="O258" s="2326"/>
      <c r="P258" s="2326"/>
      <c r="Q258" s="2326"/>
      <c r="R258" s="2326"/>
      <c r="S258" s="2326"/>
      <c r="T258" s="2326"/>
      <c r="U258" s="2326"/>
      <c r="V258" s="2327"/>
      <c r="W258" s="1048"/>
    </row>
    <row r="259" spans="1:23" s="492" customFormat="1" x14ac:dyDescent="0.45">
      <c r="A259" s="1049"/>
      <c r="B259" s="849"/>
      <c r="C259" s="2192" t="s">
        <v>2017</v>
      </c>
      <c r="D259" s="2192"/>
      <c r="E259" s="2192"/>
      <c r="F259" s="2192"/>
      <c r="G259" s="2192"/>
      <c r="H259" s="2192"/>
      <c r="I259" s="505"/>
      <c r="J259" s="2319"/>
      <c r="K259" s="2322"/>
      <c r="L259" s="2328"/>
      <c r="M259" s="2328"/>
      <c r="N259" s="2328"/>
      <c r="O259" s="2328"/>
      <c r="P259" s="2328"/>
      <c r="Q259" s="2328"/>
      <c r="R259" s="2328"/>
      <c r="S259" s="2328"/>
      <c r="T259" s="2328"/>
      <c r="U259" s="2328"/>
      <c r="V259" s="2329"/>
      <c r="W259" s="1048"/>
    </row>
    <row r="260" spans="1:23" s="492" customFormat="1" x14ac:dyDescent="0.45">
      <c r="A260" s="1049"/>
      <c r="B260" s="849"/>
      <c r="C260" s="2192"/>
      <c r="D260" s="2192"/>
      <c r="E260" s="2192"/>
      <c r="F260" s="2192"/>
      <c r="G260" s="2192"/>
      <c r="H260" s="2192"/>
      <c r="I260" s="505"/>
      <c r="J260" s="518"/>
      <c r="K260" s="518"/>
      <c r="L260" s="518"/>
      <c r="M260" s="518"/>
      <c r="N260" s="518"/>
      <c r="O260" s="518"/>
      <c r="P260" s="1048"/>
      <c r="Q260" s="1048"/>
      <c r="R260" s="1048"/>
      <c r="S260" s="1048"/>
      <c r="T260" s="1048"/>
      <c r="U260" s="1048"/>
      <c r="V260" s="1048"/>
      <c r="W260" s="1048"/>
    </row>
    <row r="261" spans="1:23" s="492" customFormat="1" x14ac:dyDescent="0.45">
      <c r="A261" s="1049"/>
      <c r="B261" s="849"/>
      <c r="C261" s="2192"/>
      <c r="D261" s="2192"/>
      <c r="E261" s="2192"/>
      <c r="F261" s="2192"/>
      <c r="G261" s="2192"/>
      <c r="H261" s="2192"/>
      <c r="I261" s="505"/>
      <c r="J261" s="518"/>
      <c r="K261" s="518"/>
      <c r="L261" s="518"/>
      <c r="M261" s="518"/>
      <c r="N261" s="518"/>
      <c r="O261" s="518"/>
      <c r="P261" s="1048"/>
      <c r="Q261" s="1048"/>
      <c r="R261" s="1048"/>
      <c r="S261" s="1048"/>
      <c r="T261" s="1048"/>
      <c r="U261" s="1048"/>
      <c r="V261" s="1048"/>
      <c r="W261" s="1048"/>
    </row>
    <row r="262" spans="1:23" s="492" customFormat="1" x14ac:dyDescent="0.45">
      <c r="A262" s="1049"/>
      <c r="B262" s="849"/>
      <c r="C262" s="1047"/>
      <c r="D262" s="1047"/>
      <c r="E262" s="1047"/>
      <c r="F262" s="1047"/>
      <c r="G262" s="1047"/>
      <c r="H262" s="1047"/>
      <c r="I262" s="505"/>
      <c r="J262" s="518"/>
      <c r="K262" s="518"/>
      <c r="L262" s="518"/>
      <c r="M262" s="518"/>
      <c r="N262" s="518"/>
      <c r="O262" s="518"/>
      <c r="P262" s="1048"/>
      <c r="Q262" s="1048"/>
      <c r="R262" s="1048"/>
      <c r="S262" s="1048"/>
      <c r="T262" s="1048"/>
      <c r="U262" s="1048"/>
      <c r="V262" s="1048"/>
      <c r="W262" s="1048"/>
    </row>
    <row r="263" spans="1:23" s="492" customFormat="1" x14ac:dyDescent="0.45">
      <c r="A263" s="1049"/>
      <c r="B263" s="849"/>
      <c r="C263" s="1047"/>
      <c r="D263" s="1047"/>
      <c r="E263" s="1047"/>
      <c r="F263" s="1047"/>
      <c r="G263" s="1047"/>
      <c r="H263" s="1047"/>
      <c r="I263" s="505"/>
      <c r="J263" s="518"/>
      <c r="K263" s="518"/>
      <c r="L263" s="518"/>
      <c r="M263" s="518"/>
      <c r="N263" s="518"/>
      <c r="O263" s="518"/>
      <c r="P263" s="1048"/>
      <c r="Q263" s="1048"/>
      <c r="R263" s="1048"/>
      <c r="S263" s="1048"/>
      <c r="T263" s="1048"/>
      <c r="U263" s="1048"/>
      <c r="V263" s="1048"/>
      <c r="W263" s="1048"/>
    </row>
    <row r="264" spans="1:23" x14ac:dyDescent="0.45">
      <c r="A264" s="895"/>
      <c r="B264" s="849"/>
      <c r="C264" s="2338" t="str">
        <f>"Perbandingan Realisasi Belanja Bantuan Sosial "&amp;Input!$M$24&amp;" dan  "&amp;Input!$M$25</f>
        <v>Perbandingan Realisasi Belanja Bantuan Sosial 31 Desember 2019 dan  31 Desember 2018</v>
      </c>
      <c r="D264" s="2338"/>
      <c r="E264" s="2338"/>
      <c r="F264" s="2338"/>
      <c r="G264" s="2338"/>
      <c r="H264" s="893"/>
    </row>
    <row r="265" spans="1:23" x14ac:dyDescent="0.45">
      <c r="A265" s="895"/>
      <c r="B265" s="849"/>
      <c r="C265" s="2268" t="s">
        <v>45</v>
      </c>
      <c r="D265" s="2269"/>
      <c r="E265" s="2346" t="s">
        <v>46</v>
      </c>
      <c r="F265" s="2346" t="s">
        <v>46</v>
      </c>
      <c r="G265" s="1050" t="s">
        <v>1840</v>
      </c>
      <c r="H265" s="893"/>
    </row>
    <row r="266" spans="1:23" x14ac:dyDescent="0.45">
      <c r="A266" s="895"/>
      <c r="B266" s="849"/>
      <c r="C266" s="2330"/>
      <c r="D266" s="2331"/>
      <c r="E266" s="2347"/>
      <c r="F266" s="2347"/>
      <c r="G266" s="866" t="s">
        <v>1841</v>
      </c>
      <c r="H266" s="893"/>
    </row>
    <row r="267" spans="1:23" x14ac:dyDescent="0.45">
      <c r="A267" s="895"/>
      <c r="B267" s="849"/>
      <c r="C267" s="2270"/>
      <c r="D267" s="2271"/>
      <c r="E267" s="841" t="s">
        <v>2319</v>
      </c>
      <c r="F267" s="841" t="s">
        <v>2055</v>
      </c>
      <c r="G267" s="867" t="s">
        <v>47</v>
      </c>
      <c r="H267" s="893"/>
    </row>
    <row r="268" spans="1:23" x14ac:dyDescent="0.45">
      <c r="A268" s="895"/>
      <c r="B268" s="849"/>
      <c r="C268" s="2464"/>
      <c r="D268" s="2465"/>
      <c r="E268" s="1388"/>
      <c r="F268" s="1387"/>
      <c r="G268" s="870">
        <f t="shared" ref="G268:G274" si="12">IF(ISERROR((E268-F268)/F268),0,((E268-F268)/F268))</f>
        <v>0</v>
      </c>
      <c r="H268" s="893"/>
      <c r="J268" s="2467" t="s">
        <v>2048</v>
      </c>
      <c r="K268" s="2468"/>
      <c r="L268" s="2468"/>
      <c r="M268" s="2469"/>
    </row>
    <row r="269" spans="1:23" s="492" customFormat="1" x14ac:dyDescent="0.45">
      <c r="A269" s="895"/>
      <c r="B269" s="849"/>
      <c r="C269" s="2464"/>
      <c r="D269" s="2465"/>
      <c r="E269" s="1388"/>
      <c r="F269" s="1387"/>
      <c r="G269" s="870">
        <f t="shared" si="12"/>
        <v>0</v>
      </c>
      <c r="H269" s="893"/>
      <c r="I269" s="505"/>
      <c r="J269" s="2470"/>
      <c r="K269" s="2471"/>
      <c r="L269" s="2471"/>
      <c r="M269" s="2472"/>
      <c r="N269" s="518"/>
      <c r="O269" s="518"/>
      <c r="P269" s="1048"/>
      <c r="Q269" s="1048"/>
      <c r="R269" s="1048"/>
      <c r="S269" s="1048"/>
      <c r="T269" s="1048"/>
      <c r="U269" s="1048"/>
      <c r="V269" s="1048"/>
      <c r="W269" s="1048"/>
    </row>
    <row r="270" spans="1:23" s="492" customFormat="1" x14ac:dyDescent="0.45">
      <c r="A270" s="895"/>
      <c r="B270" s="849"/>
      <c r="C270" s="2464"/>
      <c r="D270" s="2465"/>
      <c r="E270" s="1388"/>
      <c r="F270" s="1387"/>
      <c r="G270" s="870">
        <f t="shared" si="12"/>
        <v>0</v>
      </c>
      <c r="H270" s="893"/>
      <c r="I270" s="505"/>
      <c r="J270" s="2470"/>
      <c r="K270" s="2471"/>
      <c r="L270" s="2471"/>
      <c r="M270" s="2472"/>
      <c r="N270" s="518"/>
      <c r="O270" s="518"/>
      <c r="P270" s="1048"/>
      <c r="Q270" s="1048"/>
      <c r="R270" s="1048"/>
      <c r="S270" s="1048"/>
      <c r="T270" s="1048"/>
      <c r="U270" s="1048"/>
      <c r="V270" s="1048"/>
      <c r="W270" s="1048"/>
    </row>
    <row r="271" spans="1:23" x14ac:dyDescent="0.45">
      <c r="A271" s="895"/>
      <c r="B271" s="849"/>
      <c r="C271" s="2344"/>
      <c r="D271" s="2345"/>
      <c r="E271" s="1388"/>
      <c r="F271" s="1387"/>
      <c r="G271" s="870">
        <f t="shared" si="12"/>
        <v>0</v>
      </c>
      <c r="H271" s="893"/>
      <c r="J271" s="2470"/>
      <c r="K271" s="2471"/>
      <c r="L271" s="2471"/>
      <c r="M271" s="2472"/>
    </row>
    <row r="272" spans="1:23" x14ac:dyDescent="0.45">
      <c r="A272" s="895"/>
      <c r="B272" s="849"/>
      <c r="C272" s="2332" t="s">
        <v>1845</v>
      </c>
      <c r="D272" s="2333"/>
      <c r="E272" s="1388">
        <f>SUM(E268:E271)</f>
        <v>0</v>
      </c>
      <c r="F272" s="1387">
        <f>SUM(F268:F271)</f>
        <v>0</v>
      </c>
      <c r="G272" s="870">
        <f t="shared" si="12"/>
        <v>0</v>
      </c>
      <c r="H272" s="893"/>
      <c r="J272" s="2473"/>
      <c r="K272" s="2474"/>
      <c r="L272" s="2474"/>
      <c r="M272" s="2475"/>
    </row>
    <row r="273" spans="1:8" x14ac:dyDescent="0.45">
      <c r="A273" s="895"/>
      <c r="B273" s="849"/>
      <c r="C273" s="2334" t="s">
        <v>1846</v>
      </c>
      <c r="D273" s="2335"/>
      <c r="E273" s="1388"/>
      <c r="F273" s="1387"/>
      <c r="G273" s="870">
        <f t="shared" si="12"/>
        <v>0</v>
      </c>
      <c r="H273" s="893"/>
    </row>
    <row r="274" spans="1:8" x14ac:dyDescent="0.45">
      <c r="A274" s="895"/>
      <c r="B274" s="849"/>
      <c r="C274" s="2272" t="s">
        <v>1843</v>
      </c>
      <c r="D274" s="2273"/>
      <c r="E274" s="1389">
        <f>E272-E273</f>
        <v>0</v>
      </c>
      <c r="F274" s="1389">
        <f>F272-F273</f>
        <v>0</v>
      </c>
      <c r="G274" s="879">
        <f t="shared" si="12"/>
        <v>0</v>
      </c>
      <c r="H274" s="893"/>
    </row>
  </sheetData>
  <customSheetViews>
    <customSheetView guid="{EBF27D8D-2DD9-43E5-8C42-19F0B73014F5}" scale="91" showPageBreaks="1" view="pageBreakPreview">
      <selection activeCell="G13" sqref="G13"/>
      <rowBreaks count="3" manualBreakCount="3">
        <brk id="38" max="7" man="1"/>
        <brk id="75" max="7" man="1"/>
        <brk id="110" max="7" man="1"/>
      </rowBreaks>
      <pageMargins left="0.31496062992125984" right="0.23622047244094491" top="0.74803149606299213" bottom="0.86614173228346458" header="0.31496062992125984" footer="0.43307086614173229"/>
      <pageSetup paperSize="9" scale="98" firstPageNumber="15" orientation="portrait" useFirstPageNumber="1" horizontalDpi="4294967294" r:id="rId1"/>
      <headerFooter>
        <oddFooter>&amp;L&amp;"Calibri,Bold Italic"&amp;U&amp;K0070C0Catatan atas Laporan Keuangan&amp;R&amp;"Calibri,Bold Italic"&amp;K0070C0&amp;P</oddFooter>
      </headerFooter>
    </customSheetView>
  </customSheetViews>
  <mergeCells count="254">
    <mergeCell ref="J6:V9"/>
    <mergeCell ref="J246:V249"/>
    <mergeCell ref="J142:J147"/>
    <mergeCell ref="K142:K147"/>
    <mergeCell ref="J268:M272"/>
    <mergeCell ref="L187:V187"/>
    <mergeCell ref="L204:V204"/>
    <mergeCell ref="L219:V219"/>
    <mergeCell ref="L236:V236"/>
    <mergeCell ref="J205:V205"/>
    <mergeCell ref="J206:J210"/>
    <mergeCell ref="K206:K210"/>
    <mergeCell ref="L206:V210"/>
    <mergeCell ref="J221:J224"/>
    <mergeCell ref="K221:K224"/>
    <mergeCell ref="L221:V224"/>
    <mergeCell ref="J189:V189"/>
    <mergeCell ref="J190:J196"/>
    <mergeCell ref="K190:K196"/>
    <mergeCell ref="L190:V196"/>
    <mergeCell ref="J256:J259"/>
    <mergeCell ref="K256:K259"/>
    <mergeCell ref="L256:V259"/>
    <mergeCell ref="J220:V220"/>
    <mergeCell ref="J215:V218"/>
    <mergeCell ref="L254:V254"/>
    <mergeCell ref="J255:V255"/>
    <mergeCell ref="A205:A210"/>
    <mergeCell ref="A220:A225"/>
    <mergeCell ref="C273:D273"/>
    <mergeCell ref="C274:D274"/>
    <mergeCell ref="C256:H258"/>
    <mergeCell ref="C259:H261"/>
    <mergeCell ref="C269:D269"/>
    <mergeCell ref="C270:D270"/>
    <mergeCell ref="A251:A255"/>
    <mergeCell ref="C252:H255"/>
    <mergeCell ref="C264:G264"/>
    <mergeCell ref="C265:D267"/>
    <mergeCell ref="E265:E266"/>
    <mergeCell ref="F265:F266"/>
    <mergeCell ref="C268:D268"/>
    <mergeCell ref="C271:D271"/>
    <mergeCell ref="C272:D272"/>
    <mergeCell ref="G212:G214"/>
    <mergeCell ref="E212:E213"/>
    <mergeCell ref="F212:F213"/>
    <mergeCell ref="J230:V235"/>
    <mergeCell ref="C206:H210"/>
    <mergeCell ref="C211:G211"/>
    <mergeCell ref="L112:V119"/>
    <mergeCell ref="J112:J119"/>
    <mergeCell ref="K112:K119"/>
    <mergeCell ref="C127:D127"/>
    <mergeCell ref="C128:D128"/>
    <mergeCell ref="C126:D126"/>
    <mergeCell ref="C129:D129"/>
    <mergeCell ref="C132:H133"/>
    <mergeCell ref="L132:V141"/>
    <mergeCell ref="C137:D138"/>
    <mergeCell ref="C136:G136"/>
    <mergeCell ref="L129:V129"/>
    <mergeCell ref="J132:J141"/>
    <mergeCell ref="K132:K141"/>
    <mergeCell ref="G117:G118"/>
    <mergeCell ref="G137:G138"/>
    <mergeCell ref="C190:H192"/>
    <mergeCell ref="C143:D143"/>
    <mergeCell ref="C149:D149"/>
    <mergeCell ref="C158:H160"/>
    <mergeCell ref="J200:V203"/>
    <mergeCell ref="C145:D145"/>
    <mergeCell ref="K92:K103"/>
    <mergeCell ref="J105:V105"/>
    <mergeCell ref="C106:H111"/>
    <mergeCell ref="L108:V108"/>
    <mergeCell ref="J110:V110"/>
    <mergeCell ref="J182:V184"/>
    <mergeCell ref="L171:V171"/>
    <mergeCell ref="L142:V147"/>
    <mergeCell ref="J159:J167"/>
    <mergeCell ref="K159:K167"/>
    <mergeCell ref="L159:V167"/>
    <mergeCell ref="J158:V158"/>
    <mergeCell ref="L155:V155"/>
    <mergeCell ref="J174:J177"/>
    <mergeCell ref="J173:V173"/>
    <mergeCell ref="K174:K177"/>
    <mergeCell ref="L174:V177"/>
    <mergeCell ref="C116:G116"/>
    <mergeCell ref="C119:D119"/>
    <mergeCell ref="J42:V42"/>
    <mergeCell ref="C30:G30"/>
    <mergeCell ref="L55:V55"/>
    <mergeCell ref="J26:N32"/>
    <mergeCell ref="J35:M36"/>
    <mergeCell ref="C31:C32"/>
    <mergeCell ref="D31:D32"/>
    <mergeCell ref="E31:G31"/>
    <mergeCell ref="G47:G48"/>
    <mergeCell ref="C41:D41"/>
    <mergeCell ref="K43:K53"/>
    <mergeCell ref="L43:V53"/>
    <mergeCell ref="L41:V41"/>
    <mergeCell ref="L57:V57"/>
    <mergeCell ref="D47:D48"/>
    <mergeCell ref="C57:D57"/>
    <mergeCell ref="J106:J107"/>
    <mergeCell ref="K106:K107"/>
    <mergeCell ref="J121:J125"/>
    <mergeCell ref="K121:K125"/>
    <mergeCell ref="L121:V125"/>
    <mergeCell ref="C65:C66"/>
    <mergeCell ref="D65:D66"/>
    <mergeCell ref="C121:D121"/>
    <mergeCell ref="C122:D122"/>
    <mergeCell ref="L58:V58"/>
    <mergeCell ref="L92:V103"/>
    <mergeCell ref="C97:C98"/>
    <mergeCell ref="D97:D98"/>
    <mergeCell ref="C117:D118"/>
    <mergeCell ref="L88:V88"/>
    <mergeCell ref="C124:D124"/>
    <mergeCell ref="C125:D125"/>
    <mergeCell ref="J43:J53"/>
    <mergeCell ref="C96:G96"/>
    <mergeCell ref="C103:D103"/>
    <mergeCell ref="J92:J103"/>
    <mergeCell ref="A1:H1"/>
    <mergeCell ref="A2:H2"/>
    <mergeCell ref="G180:G181"/>
    <mergeCell ref="C168:D168"/>
    <mergeCell ref="C3:H3"/>
    <mergeCell ref="C28:H28"/>
    <mergeCell ref="C24:H27"/>
    <mergeCell ref="C42:H44"/>
    <mergeCell ref="C45:H45"/>
    <mergeCell ref="C47:C48"/>
    <mergeCell ref="A23:A27"/>
    <mergeCell ref="A59:A62"/>
    <mergeCell ref="C60:H62"/>
    <mergeCell ref="C64:G64"/>
    <mergeCell ref="C73:D73"/>
    <mergeCell ref="E65:G65"/>
    <mergeCell ref="C46:G46"/>
    <mergeCell ref="C29:G29"/>
    <mergeCell ref="A153:A155"/>
    <mergeCell ref="C169:D169"/>
    <mergeCell ref="C170:D170"/>
    <mergeCell ref="C171:D171"/>
    <mergeCell ref="C161:G161"/>
    <mergeCell ref="C162:D163"/>
    <mergeCell ref="C246:D246"/>
    <mergeCell ref="C247:D247"/>
    <mergeCell ref="C248:D248"/>
    <mergeCell ref="C249:D249"/>
    <mergeCell ref="C221:H224"/>
    <mergeCell ref="C226:G226"/>
    <mergeCell ref="C227:D229"/>
    <mergeCell ref="C230:D230"/>
    <mergeCell ref="C232:D232"/>
    <mergeCell ref="C233:D233"/>
    <mergeCell ref="C234:D234"/>
    <mergeCell ref="C235:D235"/>
    <mergeCell ref="E243:E244"/>
    <mergeCell ref="F243:F244"/>
    <mergeCell ref="C242:G242"/>
    <mergeCell ref="C243:D245"/>
    <mergeCell ref="F227:F228"/>
    <mergeCell ref="E227:E228"/>
    <mergeCell ref="C198:D199"/>
    <mergeCell ref="C200:D200"/>
    <mergeCell ref="C201:D201"/>
    <mergeCell ref="C202:D202"/>
    <mergeCell ref="G198:G199"/>
    <mergeCell ref="C139:D139"/>
    <mergeCell ref="C179:G179"/>
    <mergeCell ref="C148:D148"/>
    <mergeCell ref="C140:D140"/>
    <mergeCell ref="C141:D141"/>
    <mergeCell ref="C146:D146"/>
    <mergeCell ref="C150:D150"/>
    <mergeCell ref="C197:G197"/>
    <mergeCell ref="C182:D182"/>
    <mergeCell ref="C183:D183"/>
    <mergeCell ref="C185:D185"/>
    <mergeCell ref="C186:D186"/>
    <mergeCell ref="C187:D187"/>
    <mergeCell ref="C184:D184"/>
    <mergeCell ref="C174:H175"/>
    <mergeCell ref="C176:H177"/>
    <mergeCell ref="C165:D165"/>
    <mergeCell ref="C166:D166"/>
    <mergeCell ref="C167:D167"/>
    <mergeCell ref="C4:H5"/>
    <mergeCell ref="C6:H8"/>
    <mergeCell ref="B10:E11"/>
    <mergeCell ref="F10:H10"/>
    <mergeCell ref="G11:H11"/>
    <mergeCell ref="G12:H12"/>
    <mergeCell ref="B9:H9"/>
    <mergeCell ref="A237:A241"/>
    <mergeCell ref="J24:N25"/>
    <mergeCell ref="C92:H95"/>
    <mergeCell ref="J90:V91"/>
    <mergeCell ref="C231:D231"/>
    <mergeCell ref="J237:V237"/>
    <mergeCell ref="C238:H240"/>
    <mergeCell ref="J238:J240"/>
    <mergeCell ref="K238:K240"/>
    <mergeCell ref="L238:V240"/>
    <mergeCell ref="C212:D214"/>
    <mergeCell ref="C215:D215"/>
    <mergeCell ref="C216:D216"/>
    <mergeCell ref="C217:D217"/>
    <mergeCell ref="C218:D218"/>
    <mergeCell ref="G97:G98"/>
    <mergeCell ref="C203:D203"/>
    <mergeCell ref="G13:H13"/>
    <mergeCell ref="G14:H14"/>
    <mergeCell ref="G15:H15"/>
    <mergeCell ref="G16:H16"/>
    <mergeCell ref="G17:H17"/>
    <mergeCell ref="G18:H18"/>
    <mergeCell ref="G19:H19"/>
    <mergeCell ref="B12:E12"/>
    <mergeCell ref="C13:E13"/>
    <mergeCell ref="C14:E14"/>
    <mergeCell ref="B15:E15"/>
    <mergeCell ref="B16:E16"/>
    <mergeCell ref="A189:A196"/>
    <mergeCell ref="A173:A180"/>
    <mergeCell ref="C193:H196"/>
    <mergeCell ref="G20:H20"/>
    <mergeCell ref="G21:H21"/>
    <mergeCell ref="C17:E17"/>
    <mergeCell ref="C18:E18"/>
    <mergeCell ref="C19:E19"/>
    <mergeCell ref="C20:E20"/>
    <mergeCell ref="B21:E21"/>
    <mergeCell ref="A131:A135"/>
    <mergeCell ref="C180:D181"/>
    <mergeCell ref="C151:D151"/>
    <mergeCell ref="C147:D147"/>
    <mergeCell ref="C154:H156"/>
    <mergeCell ref="C134:H135"/>
    <mergeCell ref="A105:A108"/>
    <mergeCell ref="C120:D120"/>
    <mergeCell ref="C123:D123"/>
    <mergeCell ref="C112:H114"/>
    <mergeCell ref="C164:D164"/>
    <mergeCell ref="C144:D144"/>
    <mergeCell ref="C142:D142"/>
    <mergeCell ref="G162:G163"/>
  </mergeCells>
  <dataValidations xWindow="827" yWindow="261" count="2">
    <dataValidation allowBlank="1" showInputMessage="1" showErrorMessage="1" promptTitle="Perhatian!!!" prompt="Kotak  ini biarkan tetep kosong, jangan di isi ya..." sqref="L187 L236 L219 L204 L41 L129 L108 L88 L155 L171 L254"/>
    <dataValidation allowBlank="1" showInputMessage="1" showErrorMessage="1" promptTitle="Perhatian" prompt="Jangan Lupa diakhiri dgn tanda titik" sqref="L54:V54"/>
  </dataValidations>
  <printOptions horizontalCentered="1"/>
  <pageMargins left="0.51181102362204722" right="0.43307086614173229" top="0.74803149606299213" bottom="0.86614173228346458" header="0.31496062992125984" footer="0.31496062992125984"/>
  <pageSetup paperSize="9" scale="90" firstPageNumber="17" fitToHeight="0" orientation="portrait" useFirstPageNumber="1" horizontalDpi="4294967294" r:id="rId2"/>
  <headerFooter>
    <oddFooter>&amp;C&amp;"+,Bold Italic"&amp;K000099&amp;P</oddFooter>
  </headerFooter>
  <rowBreaks count="7" manualBreakCount="7">
    <brk id="41" max="7" man="1"/>
    <brk id="74" max="7" man="1"/>
    <brk id="104" max="7" man="1"/>
    <brk id="135" max="7" man="1"/>
    <brk id="172" max="7" man="1"/>
    <brk id="218" max="7" man="1"/>
    <brk id="263" max="7" man="1"/>
  </rowBreaks>
  <drawing r:id="rId3"/>
  <legacyDrawing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X502"/>
  <sheetViews>
    <sheetView view="pageBreakPreview" topLeftCell="A475" zoomScaleSheetLayoutView="100" workbookViewId="0">
      <selection activeCell="A286" sqref="A286:XFD287"/>
    </sheetView>
  </sheetViews>
  <sheetFormatPr defaultRowHeight="15.5" x14ac:dyDescent="0.35"/>
  <cols>
    <col min="1" max="1" width="14.08203125" style="206" customWidth="1"/>
    <col min="2" max="2" width="3.83203125" style="2" customWidth="1"/>
    <col min="3" max="3" width="27.25" style="2" customWidth="1"/>
    <col min="4" max="4" width="16.25" style="2" bestFit="1" customWidth="1"/>
    <col min="5" max="5" width="17.83203125" style="2" customWidth="1"/>
    <col min="6" max="6" width="16.25" style="2" bestFit="1" customWidth="1"/>
    <col min="7" max="7" width="3.08203125" style="310" customWidth="1"/>
    <col min="8" max="8" width="3.75" style="310" customWidth="1"/>
    <col min="9" max="9" width="6.08203125" style="2" customWidth="1"/>
    <col min="10" max="10" width="1.58203125" style="207" customWidth="1"/>
    <col min="11" max="11" width="9" style="2"/>
    <col min="12" max="12" width="6.83203125" customWidth="1"/>
    <col min="13" max="13" width="2.5" customWidth="1"/>
  </cols>
  <sheetData>
    <row r="1" spans="1:11" s="306" customFormat="1" x14ac:dyDescent="0.35">
      <c r="A1" s="2124" t="str">
        <f>'2 kata'!B1</f>
        <v>Laporan Keuangan Balai Pelestarian Nilai Budaya Bali Untuk Periode yang Berakhir 31 Desember 2019</v>
      </c>
      <c r="B1" s="2124"/>
      <c r="C1" s="2124"/>
      <c r="D1" s="2124"/>
      <c r="E1" s="2124"/>
      <c r="F1" s="2124"/>
      <c r="G1" s="2124"/>
      <c r="H1" s="2124"/>
      <c r="I1" s="2124"/>
      <c r="J1" s="309"/>
      <c r="K1" s="307"/>
    </row>
    <row r="2" spans="1:11" x14ac:dyDescent="0.35">
      <c r="A2" s="898"/>
      <c r="B2" s="726"/>
      <c r="C2" s="726"/>
      <c r="D2" s="899"/>
      <c r="E2" s="899"/>
      <c r="F2" s="726"/>
      <c r="G2" s="726"/>
      <c r="H2" s="726"/>
      <c r="I2" s="726"/>
      <c r="J2" s="900"/>
    </row>
    <row r="3" spans="1:11" ht="19" x14ac:dyDescent="0.4">
      <c r="A3" s="901"/>
      <c r="B3" s="1063" t="s">
        <v>1891</v>
      </c>
      <c r="C3" s="738"/>
      <c r="D3" s="738"/>
      <c r="E3" s="1097"/>
      <c r="F3" s="738"/>
      <c r="G3" s="738"/>
      <c r="H3" s="738"/>
      <c r="I3" s="738"/>
      <c r="J3" s="903"/>
    </row>
    <row r="4" spans="1:11" s="468" customFormat="1" ht="5.25" customHeight="1" x14ac:dyDescent="0.35">
      <c r="A4" s="901"/>
      <c r="B4" s="738"/>
      <c r="C4" s="738"/>
      <c r="D4" s="738"/>
      <c r="E4" s="738"/>
      <c r="F4" s="738"/>
      <c r="G4" s="738"/>
      <c r="H4" s="738"/>
      <c r="I4" s="738"/>
      <c r="J4" s="903"/>
      <c r="K4" s="465"/>
    </row>
    <row r="5" spans="1:11" ht="15.75" customHeight="1" x14ac:dyDescent="0.35">
      <c r="A5" s="2508" t="str">
        <f>"Kas di Bendahara Pengeluaran "&amp;TEXT($E$18,"Rp#.##0")</f>
        <v>Kas di Bendahara Pengeluaran Rp0</v>
      </c>
      <c r="B5" s="902" t="s">
        <v>2231</v>
      </c>
      <c r="C5" s="738"/>
      <c r="D5" s="738"/>
      <c r="E5" s="738"/>
      <c r="F5" s="738"/>
      <c r="G5" s="738"/>
      <c r="H5" s="738"/>
      <c r="I5" s="738"/>
      <c r="J5" s="903"/>
    </row>
    <row r="6" spans="1:11" ht="7.5" hidden="1" customHeight="1" x14ac:dyDescent="0.35">
      <c r="A6" s="2362"/>
      <c r="B6" s="720"/>
      <c r="C6" s="904"/>
      <c r="D6" s="904"/>
      <c r="E6" s="904"/>
      <c r="F6" s="904"/>
      <c r="G6" s="904"/>
      <c r="H6" s="904"/>
      <c r="I6" s="904"/>
      <c r="J6" s="900"/>
    </row>
    <row r="7" spans="1:11" x14ac:dyDescent="0.35">
      <c r="A7" s="2362"/>
      <c r="B7" s="2192" t="str">
        <f>"Saldo Kas di Bendahara Pengeluaran per "&amp;Input!Q24&amp;" dan "&amp;Input!$T$25&amp;" adalah masing-masing sebesar "&amp;TEXT(Input!$I$651,"Rp#.##0")&amp;" dan "&amp;TEXT(Input!$K$651,"Rp#.##0")&amp;" yang merupakan kas yang dikuasai, dikelola, dan di bawah tanggung jawab Bendahara Pengeluaran yang berasal dari sisa UP/TUP yang belum dipertanggungjawabkan atau belum disetorkan ke Rekening Kas Negara per tanggal neraca."</f>
        <v>Saldo Kas di Bendahara Pengeluaran per 31 Desember 2019 dan 31 Desember 2018 adalah masing-masing sebesar Rp0 dan Rp0 yang merupakan kas yang dikuasai, dikelola, dan di bawah tanggung jawab Bendahara Pengeluaran yang berasal dari sisa UP/TUP yang belum dipertanggungjawabkan atau belum disetorkan ke Rekening Kas Negara per tanggal neraca.</v>
      </c>
      <c r="C7" s="2192"/>
      <c r="D7" s="2192"/>
      <c r="E7" s="2192"/>
      <c r="F7" s="2192"/>
      <c r="G7" s="2192"/>
      <c r="H7" s="2192"/>
      <c r="I7" s="2192"/>
      <c r="J7" s="905"/>
      <c r="K7" s="2">
        <f>LEN(B7)</f>
        <v>339</v>
      </c>
    </row>
    <row r="8" spans="1:11" s="468" customFormat="1" x14ac:dyDescent="0.35">
      <c r="A8" s="2362"/>
      <c r="B8" s="2192"/>
      <c r="C8" s="2192"/>
      <c r="D8" s="2192"/>
      <c r="E8" s="2192"/>
      <c r="F8" s="2192"/>
      <c r="G8" s="2192"/>
      <c r="H8" s="2192"/>
      <c r="I8" s="2192"/>
      <c r="J8" s="905"/>
      <c r="K8" s="544"/>
    </row>
    <row r="9" spans="1:11" s="468" customFormat="1" x14ac:dyDescent="0.35">
      <c r="A9" s="2362"/>
      <c r="B9" s="2192"/>
      <c r="C9" s="2192"/>
      <c r="D9" s="2192"/>
      <c r="E9" s="2192"/>
      <c r="F9" s="2192"/>
      <c r="G9" s="2192"/>
      <c r="H9" s="2192"/>
      <c r="I9" s="2192"/>
      <c r="J9" s="905"/>
      <c r="K9" s="544"/>
    </row>
    <row r="10" spans="1:11" s="468" customFormat="1" x14ac:dyDescent="0.35">
      <c r="A10" s="912"/>
      <c r="B10" s="2192"/>
      <c r="C10" s="2192"/>
      <c r="D10" s="2192"/>
      <c r="E10" s="2192"/>
      <c r="F10" s="2192"/>
      <c r="G10" s="2192"/>
      <c r="H10" s="2192"/>
      <c r="I10" s="2192"/>
      <c r="J10" s="905"/>
      <c r="K10" s="544"/>
    </row>
    <row r="11" spans="1:11" x14ac:dyDescent="0.35">
      <c r="A11" s="901"/>
      <c r="B11" s="2509" t="s">
        <v>1721</v>
      </c>
      <c r="C11" s="2509"/>
      <c r="D11" s="2509"/>
      <c r="E11" s="2509"/>
      <c r="F11" s="906"/>
      <c r="G11" s="906"/>
      <c r="H11" s="906"/>
      <c r="I11" s="906"/>
      <c r="J11" s="907"/>
    </row>
    <row r="12" spans="1:11" s="353" customFormat="1" x14ac:dyDescent="0.35">
      <c r="A12" s="901"/>
      <c r="B12" s="908"/>
      <c r="C12" s="908"/>
      <c r="D12" s="908"/>
      <c r="E12" s="908"/>
      <c r="F12" s="906"/>
      <c r="G12" s="906"/>
      <c r="H12" s="906"/>
      <c r="I12" s="906"/>
      <c r="J12" s="907"/>
      <c r="K12" s="352"/>
    </row>
    <row r="13" spans="1:11" x14ac:dyDescent="0.35">
      <c r="A13" s="901"/>
      <c r="B13" s="2490" t="str">
        <f>"Rincian Kas di Bendahara Pengeluaran "&amp;Input!$M$24&amp;" dan "&amp;Input!$T$25&amp;""</f>
        <v>Rincian Kas di Bendahara Pengeluaran 31 Desember 2019 dan 31 Desember 2018</v>
      </c>
      <c r="C13" s="2490"/>
      <c r="D13" s="2490"/>
      <c r="E13" s="2490"/>
      <c r="F13" s="2490"/>
      <c r="G13" s="2490"/>
      <c r="H13" s="2490"/>
      <c r="I13" s="906"/>
      <c r="J13" s="907"/>
    </row>
    <row r="14" spans="1:11" ht="26.25" customHeight="1" x14ac:dyDescent="0.35">
      <c r="A14" s="901"/>
      <c r="B14" s="839" t="s">
        <v>112</v>
      </c>
      <c r="C14" s="2721" t="s">
        <v>134</v>
      </c>
      <c r="D14" s="2722"/>
      <c r="E14" s="1266" t="str">
        <f>Input!M24</f>
        <v>31 Desember 2019</v>
      </c>
      <c r="F14" s="2732" t="str">
        <f>Input!$T$25</f>
        <v>31 Desember 2018</v>
      </c>
      <c r="G14" s="2733"/>
      <c r="H14" s="2734"/>
      <c r="I14" s="906"/>
      <c r="J14" s="907"/>
      <c r="K14"/>
    </row>
    <row r="15" spans="1:11" ht="18.75" customHeight="1" x14ac:dyDescent="0.35">
      <c r="A15" s="901"/>
      <c r="B15" s="872">
        <v>1</v>
      </c>
      <c r="C15" s="2755" t="s">
        <v>2152</v>
      </c>
      <c r="D15" s="2756"/>
      <c r="E15" s="1476">
        <v>0</v>
      </c>
      <c r="F15" s="2606">
        <v>0</v>
      </c>
      <c r="G15" s="2607"/>
      <c r="H15" s="2608"/>
      <c r="I15" s="906"/>
      <c r="J15" s="907"/>
      <c r="K15"/>
    </row>
    <row r="16" spans="1:11" s="468" customFormat="1" ht="29.25" customHeight="1" x14ac:dyDescent="0.35">
      <c r="A16" s="1408"/>
      <c r="B16" s="872">
        <v>2</v>
      </c>
      <c r="C16" s="2755" t="s">
        <v>2376</v>
      </c>
      <c r="D16" s="2756"/>
      <c r="E16" s="1476">
        <v>0</v>
      </c>
      <c r="F16" s="2606">
        <v>0</v>
      </c>
      <c r="G16" s="2607"/>
      <c r="H16" s="2608"/>
      <c r="I16" s="906"/>
      <c r="J16" s="907"/>
    </row>
    <row r="17" spans="1:11" x14ac:dyDescent="0.35">
      <c r="A17" s="901"/>
      <c r="B17" s="872">
        <v>3</v>
      </c>
      <c r="C17" s="2755" t="s">
        <v>2321</v>
      </c>
      <c r="D17" s="2756"/>
      <c r="E17" s="1476" t="s">
        <v>2334</v>
      </c>
      <c r="F17" s="2606">
        <v>0</v>
      </c>
      <c r="G17" s="2607"/>
      <c r="H17" s="2608"/>
      <c r="I17" s="906"/>
      <c r="J17" s="907"/>
      <c r="K17"/>
    </row>
    <row r="18" spans="1:11" ht="20.25" customHeight="1" x14ac:dyDescent="0.35">
      <c r="A18" s="901"/>
      <c r="B18" s="1113"/>
      <c r="C18" s="2586" t="s">
        <v>114</v>
      </c>
      <c r="D18" s="2587"/>
      <c r="E18" s="1113">
        <f>SUM(E15:E17)</f>
        <v>0</v>
      </c>
      <c r="F18" s="2614">
        <f>SUM(F15:H17)</f>
        <v>0</v>
      </c>
      <c r="G18" s="2615"/>
      <c r="H18" s="2616"/>
      <c r="I18" s="906"/>
      <c r="J18" s="907"/>
      <c r="K18"/>
    </row>
    <row r="19" spans="1:11" x14ac:dyDescent="0.35">
      <c r="A19" s="901"/>
      <c r="B19" s="904"/>
      <c r="C19" s="904"/>
      <c r="D19" s="904"/>
      <c r="E19" s="904"/>
      <c r="F19" s="904"/>
      <c r="G19" s="904"/>
      <c r="H19" s="904"/>
      <c r="I19" s="904"/>
      <c r="J19" s="900"/>
      <c r="K19"/>
    </row>
    <row r="20" spans="1:11" ht="11.25" customHeight="1" x14ac:dyDescent="0.35">
      <c r="A20" s="901"/>
      <c r="B20" s="904"/>
      <c r="C20" s="904"/>
      <c r="D20" s="904"/>
      <c r="E20" s="904"/>
      <c r="F20" s="904"/>
      <c r="G20" s="904"/>
      <c r="H20" s="904"/>
      <c r="I20" s="904"/>
      <c r="J20" s="900"/>
    </row>
    <row r="21" spans="1:11" x14ac:dyDescent="0.35">
      <c r="A21" s="2508" t="str">
        <f>"Kas di Bendahara Penerimaan "&amp;TEXT($E$31,"Rp#.##0")</f>
        <v>Kas di Bendahara Penerimaan Rp0</v>
      </c>
      <c r="B21" s="911" t="s">
        <v>2230</v>
      </c>
      <c r="C21" s="904"/>
      <c r="D21" s="904"/>
      <c r="E21" s="904"/>
      <c r="F21" s="904"/>
      <c r="G21" s="904"/>
      <c r="H21" s="904"/>
      <c r="I21" s="904"/>
      <c r="J21" s="900"/>
    </row>
    <row r="22" spans="1:11" x14ac:dyDescent="0.35">
      <c r="A22" s="2508"/>
      <c r="B22" s="2192" t="str">
        <f>"Saldo Kas di Bendahara Penerimaan per tanggal "&amp;Input!Q24&amp;" dan "&amp;Input!$T$25&amp;" masing-masing adalah sebesar "&amp;TEXT(Input!$I$652,"Rp#.##0")&amp;" dan "&amp;TEXT(Input!$K$652,"Rp#.##0")&amp;". Kas di Bendahara Penerimaan meliputi saldo uang tunai dan saldo rekening di bank yang berada di bawah tanggung jawab Bendahara Penerimaan yang sumbernya berasal dari pelaksanaan tugas pemerintahan berupa Penerimaan Negara Bukan Pajak."</f>
        <v>Saldo Kas di Bendahara Penerimaan per tanggal 31 Desember 2019 dan 31 Desember 2018 masing-masing adalah sebesar Rp0 dan Rp0. Kas di Bendahara Penerimaan meliputi saldo uang tunai dan saldo rekening di bank yang berada di bawah tanggung jawab Bendahara Penerimaan yang sumbernya berasal dari pelaksanaan tugas pemerintahan berupa Penerimaan Negara Bukan Pajak.</v>
      </c>
      <c r="C22" s="2192"/>
      <c r="D22" s="2192"/>
      <c r="E22" s="2192"/>
      <c r="F22" s="2192"/>
      <c r="G22" s="2192"/>
      <c r="H22" s="2192"/>
      <c r="I22" s="2192"/>
      <c r="J22" s="905"/>
    </row>
    <row r="23" spans="1:11" s="468" customFormat="1" x14ac:dyDescent="0.35">
      <c r="A23" s="2362"/>
      <c r="B23" s="2192"/>
      <c r="C23" s="2192"/>
      <c r="D23" s="2192"/>
      <c r="E23" s="2192"/>
      <c r="F23" s="2192"/>
      <c r="G23" s="2192"/>
      <c r="H23" s="2192"/>
      <c r="I23" s="2192"/>
      <c r="J23" s="905"/>
      <c r="K23" s="544"/>
    </row>
    <row r="24" spans="1:11" s="468" customFormat="1" x14ac:dyDescent="0.35">
      <c r="A24" s="2362"/>
      <c r="B24" s="2192"/>
      <c r="C24" s="2192"/>
      <c r="D24" s="2192"/>
      <c r="E24" s="2192"/>
      <c r="F24" s="2192"/>
      <c r="G24" s="2192"/>
      <c r="H24" s="2192"/>
      <c r="I24" s="2192"/>
      <c r="J24" s="905"/>
      <c r="K24" s="544"/>
    </row>
    <row r="25" spans="1:11" s="468" customFormat="1" ht="16.5" customHeight="1" x14ac:dyDescent="0.35">
      <c r="A25" s="912"/>
      <c r="B25" s="2192"/>
      <c r="C25" s="2192"/>
      <c r="D25" s="2192"/>
      <c r="E25" s="2192"/>
      <c r="F25" s="2192"/>
      <c r="G25" s="2192"/>
      <c r="H25" s="2192"/>
      <c r="I25" s="2192"/>
      <c r="J25" s="905"/>
      <c r="K25" s="544"/>
    </row>
    <row r="26" spans="1:11" x14ac:dyDescent="0.35">
      <c r="A26" s="901"/>
      <c r="B26" s="904" t="s">
        <v>2327</v>
      </c>
      <c r="C26" s="904"/>
      <c r="D26" s="904"/>
      <c r="E26" s="904"/>
      <c r="F26" s="904"/>
      <c r="G26" s="904"/>
      <c r="H26" s="904"/>
      <c r="I26" s="904"/>
      <c r="J26" s="900"/>
    </row>
    <row r="27" spans="1:11" ht="31.5" customHeight="1" x14ac:dyDescent="0.35">
      <c r="A27" s="901"/>
      <c r="B27" s="2490" t="str">
        <f>"Rincian Kas di Bendahara Penerimaan "&amp;Input!$M$24&amp;" dan "&amp;Input!$T$25&amp;""</f>
        <v>Rincian Kas di Bendahara Penerimaan 31 Desember 2019 dan 31 Desember 2018</v>
      </c>
      <c r="C27" s="2490"/>
      <c r="D27" s="2490"/>
      <c r="E27" s="2490"/>
      <c r="F27" s="2490"/>
      <c r="G27" s="2490"/>
      <c r="H27" s="2490"/>
      <c r="I27" s="904"/>
      <c r="J27" s="900"/>
    </row>
    <row r="28" spans="1:11" ht="27.75" customHeight="1" x14ac:dyDescent="0.35">
      <c r="A28" s="901"/>
      <c r="B28" s="976" t="s">
        <v>112</v>
      </c>
      <c r="C28" s="2757" t="s">
        <v>134</v>
      </c>
      <c r="D28" s="2758"/>
      <c r="E28" s="1406" t="str">
        <f>E14</f>
        <v>31 Desember 2019</v>
      </c>
      <c r="F28" s="2625" t="str">
        <f>F14</f>
        <v>31 Desember 2018</v>
      </c>
      <c r="G28" s="2626"/>
      <c r="H28" s="2627"/>
      <c r="I28" s="904"/>
      <c r="J28" s="900"/>
    </row>
    <row r="29" spans="1:11" ht="17.25" customHeight="1" x14ac:dyDescent="0.35">
      <c r="A29" s="901"/>
      <c r="B29" s="986">
        <v>1</v>
      </c>
      <c r="C29" s="2628" t="s">
        <v>132</v>
      </c>
      <c r="D29" s="2629"/>
      <c r="E29" s="1278">
        <f>'8 neraca (PMK.177)'!F13</f>
        <v>0</v>
      </c>
      <c r="F29" s="2630">
        <f>'8 neraca (PMK.177)'!G13</f>
        <v>0</v>
      </c>
      <c r="G29" s="2631"/>
      <c r="H29" s="2632"/>
      <c r="I29" s="904"/>
      <c r="J29" s="900"/>
    </row>
    <row r="30" spans="1:11" s="468" customFormat="1" ht="17.25" customHeight="1" x14ac:dyDescent="0.35">
      <c r="A30" s="1319"/>
      <c r="B30" s="986">
        <v>2</v>
      </c>
      <c r="C30" s="2628" t="s">
        <v>2153</v>
      </c>
      <c r="D30" s="2629"/>
      <c r="E30" s="1278">
        <v>0</v>
      </c>
      <c r="F30" s="2630">
        <v>0</v>
      </c>
      <c r="G30" s="2631"/>
      <c r="H30" s="2632"/>
      <c r="I30" s="904"/>
      <c r="J30" s="900"/>
      <c r="K30" s="544"/>
    </row>
    <row r="31" spans="1:11" x14ac:dyDescent="0.35">
      <c r="A31" s="901"/>
      <c r="B31" s="1112"/>
      <c r="C31" s="2633" t="s">
        <v>114</v>
      </c>
      <c r="D31" s="2634"/>
      <c r="E31" s="1112">
        <f>SUM(E29:E29)</f>
        <v>0</v>
      </c>
      <c r="F31" s="2735">
        <f>SUM(F29:F29)</f>
        <v>0</v>
      </c>
      <c r="G31" s="2736"/>
      <c r="H31" s="2737"/>
      <c r="I31" s="904"/>
      <c r="J31" s="900"/>
    </row>
    <row r="32" spans="1:11" x14ac:dyDescent="0.35">
      <c r="A32" s="901"/>
      <c r="B32" s="904"/>
      <c r="C32" s="904"/>
      <c r="D32" s="904"/>
      <c r="E32" s="904"/>
      <c r="F32" s="904"/>
      <c r="G32" s="904"/>
      <c r="H32" s="904"/>
      <c r="I32" s="904"/>
      <c r="J32" s="900"/>
    </row>
    <row r="33" spans="1:11" s="468" customFormat="1" ht="30.75" customHeight="1" x14ac:dyDescent="0.35">
      <c r="A33" s="1256"/>
      <c r="B33" s="2762" t="s">
        <v>2057</v>
      </c>
      <c r="C33" s="2762"/>
      <c r="D33" s="2762"/>
      <c r="E33" s="2762"/>
      <c r="F33" s="2762"/>
      <c r="G33" s="2762"/>
      <c r="H33" s="2762"/>
      <c r="I33" s="2762"/>
      <c r="J33" s="900"/>
      <c r="K33" s="544"/>
    </row>
    <row r="34" spans="1:11" s="468" customFormat="1" ht="17.25" customHeight="1" x14ac:dyDescent="0.35">
      <c r="A34" s="1256"/>
      <c r="B34" s="1267"/>
      <c r="C34" s="1267"/>
      <c r="D34" s="1267"/>
      <c r="E34" s="1267"/>
      <c r="F34" s="1267"/>
      <c r="G34" s="1267"/>
      <c r="H34" s="1267"/>
      <c r="I34" s="1267"/>
      <c r="J34" s="900"/>
      <c r="K34" s="544"/>
    </row>
    <row r="35" spans="1:11" s="468" customFormat="1" ht="21.75" customHeight="1" x14ac:dyDescent="0.35">
      <c r="A35" s="1256"/>
      <c r="B35" s="968" t="s">
        <v>133</v>
      </c>
      <c r="C35" s="968" t="s">
        <v>2058</v>
      </c>
      <c r="D35" s="968" t="s">
        <v>2059</v>
      </c>
      <c r="E35" s="968" t="s">
        <v>185</v>
      </c>
      <c r="F35" s="2580" t="s">
        <v>116</v>
      </c>
      <c r="G35" s="2580"/>
      <c r="H35" s="1267"/>
      <c r="I35" s="1267"/>
      <c r="J35" s="900"/>
      <c r="K35" s="544"/>
    </row>
    <row r="36" spans="1:11" s="468" customFormat="1" ht="17.25" customHeight="1" x14ac:dyDescent="0.35">
      <c r="A36" s="1256"/>
      <c r="B36" s="1268">
        <v>1</v>
      </c>
      <c r="C36" s="1312"/>
      <c r="D36" s="1296"/>
      <c r="E36" s="1268"/>
      <c r="F36" s="2581"/>
      <c r="G36" s="2581"/>
      <c r="H36" s="1267"/>
      <c r="I36" s="1267"/>
      <c r="J36" s="900"/>
      <c r="K36" s="544"/>
    </row>
    <row r="37" spans="1:11" s="468" customFormat="1" ht="17.25" customHeight="1" x14ac:dyDescent="0.35">
      <c r="A37" s="1287"/>
      <c r="B37" s="1268">
        <v>2</v>
      </c>
      <c r="C37" s="1312"/>
      <c r="D37" s="1296"/>
      <c r="E37" s="1268"/>
      <c r="F37" s="2581"/>
      <c r="G37" s="2581"/>
      <c r="H37" s="1288"/>
      <c r="I37" s="1288"/>
      <c r="J37" s="900"/>
      <c r="K37" s="544"/>
    </row>
    <row r="38" spans="1:11" s="468" customFormat="1" ht="17.25" customHeight="1" x14ac:dyDescent="0.35">
      <c r="A38" s="1256"/>
      <c r="B38" s="1269"/>
      <c r="C38" s="2763" t="s">
        <v>116</v>
      </c>
      <c r="D38" s="2763"/>
      <c r="E38" s="1270"/>
      <c r="F38" s="2582">
        <f>SUM(F36:F37)</f>
        <v>0</v>
      </c>
      <c r="G38" s="2582"/>
      <c r="H38" s="1267"/>
      <c r="I38" s="1267"/>
      <c r="J38" s="900"/>
      <c r="K38" s="544"/>
    </row>
    <row r="39" spans="1:11" s="311" customFormat="1" x14ac:dyDescent="0.35">
      <c r="A39" s="901"/>
      <c r="B39" s="904"/>
      <c r="C39" s="904"/>
      <c r="D39" s="904"/>
      <c r="E39" s="904"/>
      <c r="F39" s="904"/>
      <c r="G39" s="904"/>
      <c r="H39" s="904"/>
      <c r="I39" s="904"/>
      <c r="J39" s="900"/>
      <c r="K39" s="312"/>
    </row>
    <row r="40" spans="1:11" x14ac:dyDescent="0.35">
      <c r="A40" s="2508" t="str">
        <f>"Kas Lainnya dan Setara Kas  "&amp;TEXT($E$55,"Rp#.##0")</f>
        <v>Kas Lainnya dan Setara Kas  Rp0</v>
      </c>
      <c r="B40" s="911" t="s">
        <v>2232</v>
      </c>
      <c r="C40" s="904"/>
      <c r="D40" s="904"/>
      <c r="E40" s="904"/>
      <c r="F40" s="904"/>
      <c r="G40" s="904"/>
      <c r="H40" s="904"/>
      <c r="I40" s="904"/>
      <c r="J40" s="900"/>
    </row>
    <row r="41" spans="1:11" x14ac:dyDescent="0.35">
      <c r="A41" s="2508"/>
      <c r="B41" s="2192" t="str">
        <f>"Saldo Kas Lainnya dan Setara Kas  per "&amp;Input!Q24&amp;" dan "&amp;Input!$T$25&amp;" masing-masing sebesar "&amp;TEXT(Input!$I$653,"Rp#.##0")&amp;" dan "&amp;TEXT(Input!$K$653,"Rp#.##0")&amp;"."&amp;""</f>
        <v>Saldo Kas Lainnya dan Setara Kas  per 31 Desember 2019 dan 31 Desember 2018 masing-masing sebesar Rp0 dan Rp0.</v>
      </c>
      <c r="C41" s="2192"/>
      <c r="D41" s="2192"/>
      <c r="E41" s="2192"/>
      <c r="F41" s="2192"/>
      <c r="G41" s="2192"/>
      <c r="H41" s="2192"/>
      <c r="I41" s="2192"/>
      <c r="J41" s="735"/>
    </row>
    <row r="42" spans="1:11" s="306" customFormat="1" ht="14.25" hidden="1" customHeight="1" x14ac:dyDescent="0.35">
      <c r="A42" s="2362"/>
      <c r="B42" s="2192"/>
      <c r="C42" s="2192"/>
      <c r="D42" s="2192"/>
      <c r="E42" s="2192"/>
      <c r="F42" s="2192"/>
      <c r="G42" s="2192"/>
      <c r="H42" s="2192"/>
      <c r="I42" s="2192"/>
      <c r="J42" s="735"/>
      <c r="K42" s="307"/>
    </row>
    <row r="43" spans="1:11" s="468" customFormat="1" ht="14.25" customHeight="1" x14ac:dyDescent="0.35">
      <c r="A43" s="2362"/>
      <c r="B43" s="2192"/>
      <c r="C43" s="2192"/>
      <c r="D43" s="2192"/>
      <c r="E43" s="2192"/>
      <c r="F43" s="2192"/>
      <c r="G43" s="2192"/>
      <c r="H43" s="2192"/>
      <c r="I43" s="2192"/>
      <c r="J43" s="735"/>
      <c r="K43" s="544"/>
    </row>
    <row r="44" spans="1:11" s="468" customFormat="1" x14ac:dyDescent="0.35">
      <c r="A44" s="2362"/>
      <c r="B44" s="2192" t="s">
        <v>1978</v>
      </c>
      <c r="C44" s="2192"/>
      <c r="D44" s="2192"/>
      <c r="E44" s="2192"/>
      <c r="F44" s="2192"/>
      <c r="G44" s="2192"/>
      <c r="H44" s="2192"/>
      <c r="I44" s="2192"/>
      <c r="J44" s="735"/>
      <c r="K44" s="544"/>
    </row>
    <row r="45" spans="1:11" s="468" customFormat="1" x14ac:dyDescent="0.35">
      <c r="A45" s="1"/>
      <c r="B45" s="2192"/>
      <c r="C45" s="2192"/>
      <c r="D45" s="2192"/>
      <c r="E45" s="2192"/>
      <c r="F45" s="2192"/>
      <c r="G45" s="2192"/>
      <c r="H45" s="2192"/>
      <c r="I45" s="2192"/>
      <c r="J45" s="735"/>
      <c r="K45" s="544"/>
    </row>
    <row r="46" spans="1:11" s="468" customFormat="1" x14ac:dyDescent="0.35">
      <c r="A46" s="1"/>
      <c r="B46" s="2192"/>
      <c r="C46" s="2192"/>
      <c r="D46" s="2192"/>
      <c r="E46" s="2192"/>
      <c r="F46" s="2192"/>
      <c r="G46" s="2192"/>
      <c r="H46" s="2192"/>
      <c r="I46" s="2192"/>
      <c r="J46" s="735"/>
      <c r="K46" s="544"/>
    </row>
    <row r="47" spans="1:11" s="468" customFormat="1" x14ac:dyDescent="0.35">
      <c r="A47" s="912"/>
      <c r="B47" s="2192"/>
      <c r="C47" s="2192"/>
      <c r="D47" s="2192"/>
      <c r="E47" s="2192"/>
      <c r="F47" s="2192"/>
      <c r="G47" s="2192"/>
      <c r="H47" s="2192"/>
      <c r="I47" s="2192"/>
      <c r="J47" s="735"/>
      <c r="K47" s="544"/>
    </row>
    <row r="48" spans="1:11" s="468" customFormat="1" ht="7.5" customHeight="1" x14ac:dyDescent="0.35">
      <c r="A48" s="912"/>
      <c r="B48" s="751"/>
      <c r="C48" s="751"/>
      <c r="D48" s="751"/>
      <c r="E48" s="751"/>
      <c r="F48" s="751"/>
      <c r="G48" s="751"/>
      <c r="H48" s="751"/>
      <c r="I48" s="751"/>
      <c r="J48" s="735"/>
      <c r="K48" s="544"/>
    </row>
    <row r="49" spans="1:12" x14ac:dyDescent="0.35">
      <c r="A49" s="901"/>
      <c r="B49" s="2490" t="str">
        <f>"Rincian Kas Lainnya dan Setara Kas "&amp;Input!$M$24&amp;" dan "&amp;Input!$T$25&amp;""</f>
        <v>Rincian Kas Lainnya dan Setara Kas 31 Desember 2019 dan 31 Desember 2018</v>
      </c>
      <c r="C49" s="2490"/>
      <c r="D49" s="2490"/>
      <c r="E49" s="2490"/>
      <c r="F49" s="2490"/>
      <c r="G49" s="2490"/>
      <c r="H49" s="2490"/>
      <c r="I49" s="904"/>
      <c r="J49" s="900"/>
    </row>
    <row r="50" spans="1:12" ht="20.25" customHeight="1" x14ac:dyDescent="0.35">
      <c r="A50" s="901"/>
      <c r="B50" s="1137" t="s">
        <v>133</v>
      </c>
      <c r="C50" s="2588" t="s">
        <v>134</v>
      </c>
      <c r="D50" s="2589"/>
      <c r="E50" s="978" t="str">
        <f>Input!$M$24</f>
        <v>31 Desember 2019</v>
      </c>
      <c r="F50" s="2590" t="str">
        <f>Input!$T$25</f>
        <v>31 Desember 2018</v>
      </c>
      <c r="G50" s="2591"/>
      <c r="H50" s="2589"/>
      <c r="I50" s="904"/>
      <c r="J50" s="900"/>
    </row>
    <row r="51" spans="1:12" x14ac:dyDescent="0.35">
      <c r="A51" s="901"/>
      <c r="B51" s="931">
        <v>1</v>
      </c>
      <c r="C51" s="983" t="s">
        <v>1980</v>
      </c>
      <c r="D51" s="984"/>
      <c r="E51" s="985">
        <f>Input!$I$654</f>
        <v>0</v>
      </c>
      <c r="F51" s="2583">
        <v>0</v>
      </c>
      <c r="G51" s="2584"/>
      <c r="H51" s="2585"/>
      <c r="I51" s="904"/>
      <c r="J51" s="900"/>
      <c r="K51" s="590" t="s">
        <v>1882</v>
      </c>
      <c r="L51" s="45" t="s">
        <v>1979</v>
      </c>
    </row>
    <row r="52" spans="1:12" x14ac:dyDescent="0.35">
      <c r="A52" s="901"/>
      <c r="B52" s="931">
        <v>2</v>
      </c>
      <c r="C52" s="983" t="s">
        <v>1981</v>
      </c>
      <c r="D52" s="984"/>
      <c r="E52" s="985">
        <f>Input!$I$655</f>
        <v>0</v>
      </c>
      <c r="F52" s="2583">
        <v>0</v>
      </c>
      <c r="G52" s="2584"/>
      <c r="H52" s="2585"/>
      <c r="I52" s="904"/>
      <c r="J52" s="900"/>
    </row>
    <row r="53" spans="1:12" x14ac:dyDescent="0.35">
      <c r="A53" s="901"/>
      <c r="B53" s="931">
        <v>3</v>
      </c>
      <c r="C53" s="983" t="s">
        <v>1982</v>
      </c>
      <c r="D53" s="984"/>
      <c r="E53" s="985">
        <f>Input!$I$656</f>
        <v>0</v>
      </c>
      <c r="F53" s="2583">
        <v>0</v>
      </c>
      <c r="G53" s="2584"/>
      <c r="H53" s="2585"/>
      <c r="I53" s="904"/>
      <c r="J53" s="900"/>
    </row>
    <row r="54" spans="1:12" s="47" customFormat="1" x14ac:dyDescent="0.35">
      <c r="A54" s="901"/>
      <c r="B54" s="931"/>
      <c r="C54" s="983"/>
      <c r="D54" s="984"/>
      <c r="E54" s="985"/>
      <c r="F54" s="2583"/>
      <c r="G54" s="2584"/>
      <c r="H54" s="2585"/>
      <c r="I54" s="904"/>
      <c r="J54" s="900"/>
      <c r="K54" s="10"/>
    </row>
    <row r="55" spans="1:12" ht="18" customHeight="1" x14ac:dyDescent="0.35">
      <c r="A55" s="901"/>
      <c r="B55" s="2764" t="s">
        <v>116</v>
      </c>
      <c r="C55" s="2765"/>
      <c r="D55" s="2765"/>
      <c r="E55" s="1111">
        <f>SUM(E51:E54)</f>
        <v>0</v>
      </c>
      <c r="F55" s="2617">
        <f>SUM(F51:H54)</f>
        <v>0</v>
      </c>
      <c r="G55" s="2618"/>
      <c r="H55" s="2619"/>
      <c r="I55" s="904"/>
      <c r="J55" s="900"/>
    </row>
    <row r="56" spans="1:12" ht="6.75" customHeight="1" x14ac:dyDescent="0.35">
      <c r="A56" s="901"/>
      <c r="B56" s="2192"/>
      <c r="C56" s="2192"/>
      <c r="D56" s="2192"/>
      <c r="E56" s="2192"/>
      <c r="F56" s="2192"/>
      <c r="G56" s="2192"/>
      <c r="H56" s="2192"/>
      <c r="I56" s="2192"/>
      <c r="J56" s="905"/>
    </row>
    <row r="57" spans="1:12" s="51" customFormat="1" x14ac:dyDescent="0.35">
      <c r="A57" s="2742" t="str">
        <f>"Piutang Bukan Pajak "&amp;TEXT(Input!$I$665,"Rp#.##0")</f>
        <v>Piutang Bukan Pajak Rp0</v>
      </c>
      <c r="B57" s="916" t="s">
        <v>2233</v>
      </c>
      <c r="C57" s="917"/>
      <c r="D57" s="917"/>
      <c r="E57" s="917"/>
      <c r="F57" s="917"/>
      <c r="G57" s="917"/>
      <c r="H57" s="917"/>
      <c r="I57" s="917"/>
      <c r="J57" s="905"/>
      <c r="K57" s="10"/>
    </row>
    <row r="58" spans="1:12" s="51" customFormat="1" x14ac:dyDescent="0.35">
      <c r="A58" s="2742"/>
      <c r="B58" s="2743" t="str">
        <f>"Saldo Piutang PNBP per tanggal "&amp;Input!Q24&amp;" dan "&amp;Input!$T$25&amp;" masing-masing sebesar "&amp;TEXT(Input!$I$665,"Rp#.##0")&amp;" dan "&amp;TEXT(Input!$K$665,"Rp#.##0")&amp;". Piutang PNBP merupakan hak atau pengakuan pemerintah atas uang atau jasa terhadap pelayanan yang telah diberikan namun belum diselesaikan pembayarannya. Rincian Piutang Bukan Pajak disajikan sebagai berikut :"</f>
        <v>Saldo Piutang PNBP per tanggal 31 Desember 2019 dan 31 Desember 2018 masing-masing sebesar Rp0 dan Rp0. Piutang PNBP merupakan hak atau pengakuan pemerintah atas uang atau jasa terhadap pelayanan yang telah diberikan namun belum diselesaikan pembayarannya. Rincian Piutang Bukan Pajak disajikan sebagai berikut :</v>
      </c>
      <c r="C58" s="2743"/>
      <c r="D58" s="2743"/>
      <c r="E58" s="2743"/>
      <c r="F58" s="2743"/>
      <c r="G58" s="2743"/>
      <c r="H58" s="2743"/>
      <c r="I58" s="2743"/>
      <c r="J58" s="905"/>
      <c r="K58" s="10"/>
    </row>
    <row r="59" spans="1:12" s="51" customFormat="1" x14ac:dyDescent="0.35">
      <c r="A59" s="918"/>
      <c r="B59" s="2192"/>
      <c r="C59" s="2192"/>
      <c r="D59" s="2192"/>
      <c r="E59" s="2192"/>
      <c r="F59" s="2192"/>
      <c r="G59" s="2192"/>
      <c r="H59" s="2192"/>
      <c r="I59" s="2192"/>
      <c r="J59" s="905"/>
      <c r="K59" s="10"/>
    </row>
    <row r="60" spans="1:12" s="468" customFormat="1" x14ac:dyDescent="0.35">
      <c r="A60" s="918"/>
      <c r="B60" s="2192"/>
      <c r="C60" s="2192"/>
      <c r="D60" s="2192"/>
      <c r="E60" s="2192"/>
      <c r="F60" s="2192"/>
      <c r="G60" s="2192"/>
      <c r="H60" s="2192"/>
      <c r="I60" s="2192"/>
      <c r="J60" s="905"/>
      <c r="K60" s="544"/>
    </row>
    <row r="61" spans="1:12" s="51" customFormat="1" x14ac:dyDescent="0.35">
      <c r="A61" s="918"/>
      <c r="B61" s="2192"/>
      <c r="C61" s="2192"/>
      <c r="D61" s="2192"/>
      <c r="E61" s="2192"/>
      <c r="F61" s="2192"/>
      <c r="G61" s="2192"/>
      <c r="H61" s="2192"/>
      <c r="I61" s="2192"/>
      <c r="J61" s="905"/>
      <c r="K61" s="207"/>
    </row>
    <row r="62" spans="1:12" x14ac:dyDescent="0.35">
      <c r="A62" s="901"/>
      <c r="B62" s="2592"/>
      <c r="C62" s="2592"/>
      <c r="D62" s="2592"/>
      <c r="E62" s="2592"/>
      <c r="F62" s="904"/>
      <c r="G62" s="904"/>
      <c r="H62" s="904"/>
      <c r="I62" s="904"/>
      <c r="J62" s="900"/>
    </row>
    <row r="63" spans="1:12" x14ac:dyDescent="0.35">
      <c r="A63" s="901"/>
      <c r="B63" s="2490" t="str">
        <f>"Rincian Piutang Bukan Pajak "&amp;Input!$M$24&amp;" dan "&amp;Input!$T$25&amp;""</f>
        <v>Rincian Piutang Bukan Pajak 31 Desember 2019 dan 31 Desember 2018</v>
      </c>
      <c r="C63" s="2490"/>
      <c r="D63" s="2490"/>
      <c r="E63" s="2490"/>
      <c r="F63" s="2490"/>
      <c r="G63" s="2490"/>
      <c r="H63" s="2490"/>
      <c r="I63" s="904"/>
      <c r="J63" s="900"/>
    </row>
    <row r="64" spans="1:12" ht="24.75" customHeight="1" x14ac:dyDescent="0.35">
      <c r="A64" s="901"/>
      <c r="B64" s="839" t="s">
        <v>133</v>
      </c>
      <c r="C64" s="2721" t="s">
        <v>45</v>
      </c>
      <c r="D64" s="2722"/>
      <c r="E64" s="956" t="str">
        <f>Input!$M$24</f>
        <v>31 Desember 2019</v>
      </c>
      <c r="F64" s="2593" t="str">
        <f>Input!$T$25</f>
        <v>31 Desember 2018</v>
      </c>
      <c r="G64" s="2594"/>
      <c r="H64" s="2595"/>
      <c r="I64" s="904"/>
      <c r="J64" s="900"/>
    </row>
    <row r="65" spans="1:21" x14ac:dyDescent="0.35">
      <c r="A65" s="901"/>
      <c r="B65" s="919">
        <v>1</v>
      </c>
      <c r="C65" s="2759" t="s">
        <v>1729</v>
      </c>
      <c r="D65" s="2760"/>
      <c r="E65" s="920">
        <v>0</v>
      </c>
      <c r="F65" s="2597">
        <v>0</v>
      </c>
      <c r="G65" s="2597"/>
      <c r="H65" s="2597"/>
      <c r="I65" s="904"/>
      <c r="J65" s="900"/>
      <c r="L65" s="45" t="s">
        <v>1984</v>
      </c>
    </row>
    <row r="66" spans="1:21" x14ac:dyDescent="0.35">
      <c r="A66" s="901"/>
      <c r="B66" s="919">
        <v>2</v>
      </c>
      <c r="C66" s="2759" t="s">
        <v>1983</v>
      </c>
      <c r="D66" s="2760"/>
      <c r="E66" s="920">
        <v>0</v>
      </c>
      <c r="F66" s="2597">
        <v>0</v>
      </c>
      <c r="G66" s="2597"/>
      <c r="H66" s="2597"/>
      <c r="I66" s="904"/>
      <c r="J66" s="900"/>
    </row>
    <row r="67" spans="1:21" s="51" customFormat="1" x14ac:dyDescent="0.35">
      <c r="A67" s="901"/>
      <c r="B67" s="921"/>
      <c r="C67" s="2274"/>
      <c r="D67" s="2603"/>
      <c r="E67" s="922"/>
      <c r="F67" s="2596"/>
      <c r="G67" s="2596"/>
      <c r="H67" s="2596"/>
      <c r="I67" s="904"/>
      <c r="J67" s="900"/>
      <c r="K67" s="10"/>
    </row>
    <row r="68" spans="1:21" ht="23.25" customHeight="1" x14ac:dyDescent="0.35">
      <c r="A68" s="901"/>
      <c r="B68" s="2586" t="s">
        <v>116</v>
      </c>
      <c r="C68" s="2643"/>
      <c r="D68" s="2587"/>
      <c r="E68" s="1106">
        <f>SUM(E65:E66)</f>
        <v>0</v>
      </c>
      <c r="F68" s="2520">
        <f>SUM(F65:H67)</f>
        <v>0</v>
      </c>
      <c r="G68" s="2520"/>
      <c r="H68" s="2520"/>
      <c r="I68" s="904"/>
      <c r="J68" s="900"/>
    </row>
    <row r="69" spans="1:21" ht="11.25" customHeight="1" x14ac:dyDescent="0.35">
      <c r="A69" s="901"/>
      <c r="B69" s="923"/>
      <c r="C69" s="904"/>
      <c r="D69" s="904"/>
      <c r="E69" s="904"/>
      <c r="F69" s="904"/>
      <c r="G69" s="904"/>
      <c r="H69" s="904"/>
      <c r="I69" s="904"/>
      <c r="J69" s="900"/>
    </row>
    <row r="70" spans="1:21" x14ac:dyDescent="0.35">
      <c r="A70" s="2508" t="str">
        <f>"Bagian Lancar Tagihan TP/TGR "&amp;TEXT($E$83,"Rp#.##0")</f>
        <v>Bagian Lancar Tagihan TP/TGR Rp0</v>
      </c>
      <c r="B70" s="911" t="s">
        <v>2234</v>
      </c>
      <c r="C70" s="904"/>
      <c r="D70" s="904"/>
      <c r="E70" s="904"/>
      <c r="F70" s="904"/>
      <c r="G70" s="904"/>
      <c r="H70" s="904"/>
      <c r="I70" s="904"/>
      <c r="J70" s="900"/>
      <c r="K70" s="11"/>
      <c r="L70" s="50"/>
      <c r="M70" s="50"/>
      <c r="N70" s="50"/>
      <c r="O70" s="50"/>
      <c r="P70" s="50"/>
      <c r="Q70" s="50"/>
      <c r="R70" s="50"/>
      <c r="S70" s="50"/>
      <c r="T70" s="50"/>
      <c r="U70" s="50"/>
    </row>
    <row r="71" spans="1:21" x14ac:dyDescent="0.35">
      <c r="A71" s="2508"/>
      <c r="B71" s="2192" t="str">
        <f>"Saldo Bagian Lancar Tagihan Tuntutan Perbendaharaan/Tuntutan Ganti Rugi  per "&amp;Input!Q24&amp;" dan "&amp;Input!$T$25&amp;" adalah masing-masing sebesar "&amp;TEXT(Input!$I$666,"Rp#.##0")&amp;" dan "&amp;TEXT(Input!$K$666,"Rp#.##0")&amp;". Bagian Lancar TP/TGR merupakan TP/TGR yang belum diselesaikan pada tanggal pelaporan yang akan jatuh tempo dalam 12 (dua belas) bulan atau kurang sejak tanggal pelaporan. Rincian Bagian Lancar TP/TGR adalah sebagai berikut:"</f>
        <v>Saldo Bagian Lancar Tagihan Tuntutan Perbendaharaan/Tuntutan Ganti Rugi  per 31 Desember 2019 dan 31 Desember 2018 adalah masing-masing sebesar Rp0 dan Rp0. Bagian Lancar TP/TGR merupakan TP/TGR yang belum diselesaikan pada tanggal pelaporan yang akan jatuh tempo dalam 12 (dua belas) bulan atau kurang sejak tanggal pelaporan. Rincian Bagian Lancar TP/TGR adalah sebagai berikut:</v>
      </c>
      <c r="C71" s="2192"/>
      <c r="D71" s="2192"/>
      <c r="E71" s="2192"/>
      <c r="F71" s="2192"/>
      <c r="G71" s="2192"/>
      <c r="H71" s="2192"/>
      <c r="I71" s="2192"/>
      <c r="J71" s="905"/>
      <c r="K71" s="2637"/>
      <c r="L71" s="2637"/>
      <c r="M71" s="2637"/>
      <c r="N71" s="2637"/>
      <c r="O71" s="2637"/>
      <c r="P71" s="2637"/>
      <c r="Q71" s="2637"/>
      <c r="R71" s="2637"/>
      <c r="S71" s="2637"/>
      <c r="T71" s="2637"/>
      <c r="U71" s="2637"/>
    </row>
    <row r="72" spans="1:21" s="468" customFormat="1" x14ac:dyDescent="0.35">
      <c r="A72" s="2362"/>
      <c r="B72" s="2192"/>
      <c r="C72" s="2192"/>
      <c r="D72" s="2192"/>
      <c r="E72" s="2192"/>
      <c r="F72" s="2192"/>
      <c r="G72" s="2192"/>
      <c r="H72" s="2192"/>
      <c r="I72" s="2192"/>
      <c r="J72" s="905"/>
      <c r="K72" s="756"/>
      <c r="L72" s="756"/>
      <c r="M72" s="756"/>
      <c r="N72" s="756"/>
      <c r="O72" s="756"/>
      <c r="P72" s="756"/>
      <c r="Q72" s="756"/>
      <c r="R72" s="756"/>
      <c r="S72" s="756"/>
      <c r="T72" s="756"/>
      <c r="U72" s="756"/>
    </row>
    <row r="73" spans="1:21" s="468" customFormat="1" x14ac:dyDescent="0.35">
      <c r="A73" s="2362"/>
      <c r="B73" s="2192"/>
      <c r="C73" s="2192"/>
      <c r="D73" s="2192"/>
      <c r="E73" s="2192"/>
      <c r="F73" s="2192"/>
      <c r="G73" s="2192"/>
      <c r="H73" s="2192"/>
      <c r="I73" s="2192"/>
      <c r="J73" s="905"/>
      <c r="K73" s="756"/>
      <c r="L73" s="756"/>
      <c r="M73" s="756"/>
      <c r="N73" s="756"/>
      <c r="O73" s="756"/>
      <c r="P73" s="756"/>
      <c r="Q73" s="756"/>
      <c r="R73" s="756"/>
      <c r="S73" s="756"/>
      <c r="T73" s="756"/>
      <c r="U73" s="756"/>
    </row>
    <row r="74" spans="1:21" s="468" customFormat="1" x14ac:dyDescent="0.35">
      <c r="A74" s="912"/>
      <c r="B74" s="2192"/>
      <c r="C74" s="2192"/>
      <c r="D74" s="2192"/>
      <c r="E74" s="2192"/>
      <c r="F74" s="2192"/>
      <c r="G74" s="2192"/>
      <c r="H74" s="2192"/>
      <c r="I74" s="2192"/>
      <c r="J74" s="905"/>
      <c r="K74" s="756"/>
      <c r="L74" s="756"/>
      <c r="M74" s="756"/>
      <c r="N74" s="756"/>
      <c r="O74" s="756"/>
      <c r="P74" s="756"/>
      <c r="Q74" s="756"/>
      <c r="R74" s="756"/>
      <c r="S74" s="756"/>
      <c r="T74" s="756"/>
      <c r="U74" s="756"/>
    </row>
    <row r="75" spans="1:21" s="468" customFormat="1" x14ac:dyDescent="0.35">
      <c r="A75" s="912"/>
      <c r="B75" s="2118"/>
      <c r="C75" s="2118"/>
      <c r="D75" s="2118"/>
      <c r="E75" s="2118"/>
      <c r="F75" s="2118"/>
      <c r="G75" s="2118"/>
      <c r="H75" s="2118"/>
      <c r="I75" s="2118"/>
      <c r="J75" s="905"/>
      <c r="K75" s="756"/>
      <c r="L75" s="756"/>
      <c r="M75" s="756"/>
      <c r="N75" s="756"/>
      <c r="O75" s="756"/>
      <c r="P75" s="756"/>
      <c r="Q75" s="756"/>
      <c r="R75" s="756"/>
      <c r="S75" s="756"/>
      <c r="T75" s="756"/>
      <c r="U75" s="756"/>
    </row>
    <row r="76" spans="1:21" x14ac:dyDescent="0.35">
      <c r="A76" s="901"/>
      <c r="B76" s="906"/>
      <c r="C76" s="2592"/>
      <c r="D76" s="2592"/>
      <c r="E76" s="2592"/>
      <c r="F76" s="2592"/>
      <c r="G76" s="2592"/>
      <c r="H76" s="2592"/>
      <c r="I76" s="2592"/>
      <c r="J76" s="900"/>
    </row>
    <row r="77" spans="1:21" x14ac:dyDescent="0.35">
      <c r="A77" s="901"/>
      <c r="B77" s="924"/>
      <c r="C77" s="2579" t="str">
        <f>"Rincian Bagian Lancar TP/TGR "&amp;Input!$M$24&amp;" dan "&amp;Input!$T$25&amp;""</f>
        <v>Rincian Bagian Lancar TP/TGR 31 Desember 2019 dan 31 Desember 2018</v>
      </c>
      <c r="D77" s="2579"/>
      <c r="E77" s="2579"/>
      <c r="F77" s="2579"/>
      <c r="G77" s="2579"/>
      <c r="H77" s="2579"/>
      <c r="I77" s="2579"/>
      <c r="J77" s="900"/>
    </row>
    <row r="78" spans="1:21" ht="20.25" customHeight="1" x14ac:dyDescent="0.35">
      <c r="A78" s="901"/>
      <c r="B78" s="909" t="s">
        <v>133</v>
      </c>
      <c r="C78" s="2604" t="s">
        <v>1757</v>
      </c>
      <c r="D78" s="2605"/>
      <c r="E78" s="910" t="str">
        <f>Input!$M$24</f>
        <v>31 Desember 2019</v>
      </c>
      <c r="F78" s="2752" t="str">
        <f>Input!$T$25</f>
        <v>31 Desember 2018</v>
      </c>
      <c r="G78" s="2753"/>
      <c r="H78" s="2754"/>
      <c r="I78" s="925"/>
      <c r="J78" s="900"/>
    </row>
    <row r="79" spans="1:21" x14ac:dyDescent="0.35">
      <c r="A79" s="901"/>
      <c r="B79" s="931">
        <v>1</v>
      </c>
      <c r="C79" s="2515"/>
      <c r="D79" s="2516"/>
      <c r="E79" s="982">
        <v>0</v>
      </c>
      <c r="F79" s="2613">
        <v>0</v>
      </c>
      <c r="G79" s="2613"/>
      <c r="H79" s="2613"/>
      <c r="I79" s="926"/>
      <c r="J79" s="900"/>
    </row>
    <row r="80" spans="1:21" x14ac:dyDescent="0.35">
      <c r="A80" s="901"/>
      <c r="B80" s="931">
        <v>2</v>
      </c>
      <c r="C80" s="2515"/>
      <c r="D80" s="2516"/>
      <c r="E80" s="982">
        <v>0</v>
      </c>
      <c r="F80" s="2613">
        <v>0</v>
      </c>
      <c r="G80" s="2613"/>
      <c r="H80" s="2613"/>
      <c r="I80" s="926"/>
      <c r="J80" s="900"/>
    </row>
    <row r="81" spans="1:21" x14ac:dyDescent="0.35">
      <c r="A81" s="901"/>
      <c r="B81" s="931">
        <v>3</v>
      </c>
      <c r="C81" s="2515"/>
      <c r="D81" s="2516"/>
      <c r="E81" s="982">
        <v>0</v>
      </c>
      <c r="F81" s="2613">
        <v>0</v>
      </c>
      <c r="G81" s="2613"/>
      <c r="H81" s="2613"/>
      <c r="I81" s="927"/>
      <c r="J81" s="900"/>
    </row>
    <row r="82" spans="1:21" s="51" customFormat="1" x14ac:dyDescent="0.35">
      <c r="A82" s="901"/>
      <c r="B82" s="931"/>
      <c r="C82" s="2515"/>
      <c r="D82" s="2516"/>
      <c r="E82" s="982"/>
      <c r="F82" s="2613"/>
      <c r="G82" s="2613"/>
      <c r="H82" s="2613"/>
      <c r="I82" s="927"/>
      <c r="J82" s="900"/>
      <c r="K82" s="10"/>
    </row>
    <row r="83" spans="1:21" s="51" customFormat="1" ht="18" customHeight="1" x14ac:dyDescent="0.35">
      <c r="A83" s="901"/>
      <c r="B83" s="1110"/>
      <c r="C83" s="2586" t="s">
        <v>116</v>
      </c>
      <c r="D83" s="2587"/>
      <c r="E83" s="1106">
        <f>SUM(E79:E81)</f>
        <v>0</v>
      </c>
      <c r="F83" s="2520">
        <f>SUM(F79:H82)</f>
        <v>0</v>
      </c>
      <c r="G83" s="2520"/>
      <c r="H83" s="2520"/>
      <c r="I83" s="927"/>
      <c r="J83" s="900"/>
      <c r="K83" s="10"/>
    </row>
    <row r="84" spans="1:21" x14ac:dyDescent="0.35">
      <c r="A84" s="901"/>
      <c r="B84" s="928"/>
      <c r="C84" s="929"/>
      <c r="D84" s="929"/>
      <c r="E84" s="929"/>
      <c r="F84" s="929"/>
      <c r="G84" s="930"/>
      <c r="H84" s="930"/>
      <c r="I84" s="930"/>
      <c r="J84" s="900"/>
    </row>
    <row r="85" spans="1:21" x14ac:dyDescent="0.35">
      <c r="A85" s="2508" t="str">
        <f>"Bagian Lancar TPA  "&amp;TEXT($E$97,"Rp#.##0")</f>
        <v>Bagian Lancar TPA  Rp0</v>
      </c>
      <c r="B85" s="911" t="s">
        <v>2235</v>
      </c>
      <c r="C85" s="1395"/>
      <c r="D85" s="904"/>
      <c r="E85" s="904"/>
      <c r="F85" s="904"/>
      <c r="G85" s="904"/>
      <c r="H85" s="904"/>
      <c r="I85" s="904"/>
      <c r="J85" s="900"/>
      <c r="K85" s="11"/>
      <c r="L85" s="50"/>
      <c r="M85" s="50"/>
      <c r="N85" s="50"/>
      <c r="O85" s="50"/>
      <c r="P85" s="50"/>
      <c r="Q85" s="50"/>
      <c r="R85" s="50"/>
      <c r="S85" s="50"/>
      <c r="T85" s="50"/>
      <c r="U85" s="50"/>
    </row>
    <row r="86" spans="1:21" x14ac:dyDescent="0.35">
      <c r="A86" s="2508"/>
      <c r="B86" s="2192" t="str">
        <f>"Saldo Bagian Lancar Tagihan Penjualan Angsuran (TPA) per tanggal "&amp;Input!Q24&amp;" dan  "&amp;Input!$T$25&amp;" adalah masing-masing sebesar "&amp;TEXT(Input!$I$667,"Rp#.##0")&amp;" dan "&amp;TEXT(Input!$K$667,"Rp#.##0")&amp;". Bagian Lancar TPA merupakan Tagihan TPA yang akan jatuh tempo dalam waktu 12 (dua belas) bulan atau kurang sejak tanggal pelaporan, dengan rincian sebagai berikut :"</f>
        <v>Saldo Bagian Lancar Tagihan Penjualan Angsuran (TPA) per tanggal 31 Desember 2019 dan  31 Desember 2018 adalah masing-masing sebesar Rp0 dan Rp0. Bagian Lancar TPA merupakan Tagihan TPA yang akan jatuh tempo dalam waktu 12 (dua belas) bulan atau kurang sejak tanggal pelaporan, dengan rincian sebagai berikut :</v>
      </c>
      <c r="C86" s="2192"/>
      <c r="D86" s="2192"/>
      <c r="E86" s="2192"/>
      <c r="F86" s="2192"/>
      <c r="G86" s="2192"/>
      <c r="H86" s="2192"/>
      <c r="I86" s="2192"/>
      <c r="J86" s="905"/>
      <c r="K86" s="2637"/>
      <c r="L86" s="2637"/>
      <c r="M86" s="2637"/>
      <c r="N86" s="2637"/>
      <c r="O86" s="2637"/>
      <c r="P86" s="2637"/>
      <c r="Q86" s="2637"/>
      <c r="R86" s="2637"/>
      <c r="S86" s="2637"/>
      <c r="T86" s="2637"/>
      <c r="U86" s="2637"/>
    </row>
    <row r="87" spans="1:21" s="980" customFormat="1" x14ac:dyDescent="0.35">
      <c r="A87" s="912"/>
      <c r="B87" s="2192"/>
      <c r="C87" s="2192"/>
      <c r="D87" s="2192"/>
      <c r="E87" s="2192"/>
      <c r="F87" s="2192"/>
      <c r="G87" s="2192"/>
      <c r="H87" s="2192"/>
      <c r="I87" s="2192"/>
      <c r="J87" s="979"/>
      <c r="K87" s="2637"/>
      <c r="L87" s="2637"/>
      <c r="M87" s="2637"/>
      <c r="N87" s="2637"/>
      <c r="O87" s="2637"/>
      <c r="P87" s="2637"/>
      <c r="Q87" s="2637"/>
      <c r="R87" s="2637"/>
      <c r="S87" s="2637"/>
      <c r="T87" s="2637"/>
      <c r="U87" s="2637"/>
    </row>
    <row r="88" spans="1:21" s="980" customFormat="1" x14ac:dyDescent="0.35">
      <c r="A88" s="912"/>
      <c r="B88" s="2192"/>
      <c r="C88" s="2192"/>
      <c r="D88" s="2192"/>
      <c r="E88" s="2192"/>
      <c r="F88" s="2192"/>
      <c r="G88" s="2192"/>
      <c r="H88" s="2192"/>
      <c r="I88" s="2192"/>
      <c r="J88" s="979"/>
      <c r="K88" s="2637"/>
      <c r="L88" s="2637"/>
      <c r="M88" s="2637"/>
      <c r="N88" s="2637"/>
      <c r="O88" s="2637"/>
      <c r="P88" s="2637"/>
      <c r="Q88" s="2637"/>
      <c r="R88" s="2637"/>
      <c r="S88" s="2637"/>
      <c r="T88" s="2637"/>
      <c r="U88" s="2637"/>
    </row>
    <row r="89" spans="1:21" s="468" customFormat="1" x14ac:dyDescent="0.35">
      <c r="A89" s="912"/>
      <c r="B89" s="2118"/>
      <c r="C89" s="2118"/>
      <c r="D89" s="2118"/>
      <c r="E89" s="2118"/>
      <c r="F89" s="2118"/>
      <c r="G89" s="2118"/>
      <c r="H89" s="2118"/>
      <c r="I89" s="2118"/>
      <c r="J89" s="905"/>
      <c r="K89" s="2637"/>
      <c r="L89" s="2637"/>
      <c r="M89" s="2637"/>
      <c r="N89" s="2637"/>
      <c r="O89" s="2637"/>
      <c r="P89" s="2637"/>
      <c r="Q89" s="2637"/>
      <c r="R89" s="2637"/>
      <c r="S89" s="2637"/>
      <c r="T89" s="2637"/>
      <c r="U89" s="2637"/>
    </row>
    <row r="90" spans="1:21" s="285" customFormat="1" x14ac:dyDescent="0.35">
      <c r="A90" s="901"/>
      <c r="B90" s="2592"/>
      <c r="C90" s="2592"/>
      <c r="D90" s="2592"/>
      <c r="E90" s="2592"/>
      <c r="F90" s="904"/>
      <c r="G90" s="904"/>
      <c r="H90" s="904"/>
      <c r="I90" s="904"/>
      <c r="J90" s="900"/>
      <c r="K90" s="286"/>
    </row>
    <row r="91" spans="1:21" x14ac:dyDescent="0.35">
      <c r="A91" s="901"/>
      <c r="B91" s="2490" t="str">
        <f>"Rincian Bagian Lancar TPA "&amp;Input!$M$24&amp;" dan "&amp;Input!$T$25&amp;""</f>
        <v>Rincian Bagian Lancar TPA 31 Desember 2019 dan 31 Desember 2018</v>
      </c>
      <c r="C91" s="2490"/>
      <c r="D91" s="2490"/>
      <c r="E91" s="2490"/>
      <c r="F91" s="2490"/>
      <c r="G91" s="2490"/>
      <c r="H91" s="2490"/>
      <c r="I91" s="904"/>
      <c r="J91" s="900"/>
    </row>
    <row r="92" spans="1:21" ht="19.5" customHeight="1" x14ac:dyDescent="0.35">
      <c r="A92" s="901"/>
      <c r="B92" s="981" t="s">
        <v>133</v>
      </c>
      <c r="C92" s="2510" t="s">
        <v>1757</v>
      </c>
      <c r="D92" s="2511"/>
      <c r="E92" s="934" t="str">
        <f>Input!$M$24</f>
        <v>31 Desember 2019</v>
      </c>
      <c r="F92" s="2540" t="str">
        <f>Input!$T$25</f>
        <v>31 Desember 2018</v>
      </c>
      <c r="G92" s="2541"/>
      <c r="H92" s="2542"/>
      <c r="I92" s="904"/>
      <c r="J92" s="900"/>
    </row>
    <row r="93" spans="1:21" x14ac:dyDescent="0.35">
      <c r="A93" s="901"/>
      <c r="B93" s="931">
        <v>1</v>
      </c>
      <c r="C93" s="2515"/>
      <c r="D93" s="2516"/>
      <c r="E93" s="982">
        <v>0</v>
      </c>
      <c r="F93" s="2613">
        <v>0</v>
      </c>
      <c r="G93" s="2613"/>
      <c r="H93" s="2613"/>
      <c r="I93" s="904"/>
      <c r="J93" s="900"/>
    </row>
    <row r="94" spans="1:21" x14ac:dyDescent="0.35">
      <c r="A94" s="901"/>
      <c r="B94" s="931">
        <v>2</v>
      </c>
      <c r="C94" s="2515"/>
      <c r="D94" s="2516"/>
      <c r="E94" s="982">
        <v>0</v>
      </c>
      <c r="F94" s="2613">
        <v>0</v>
      </c>
      <c r="G94" s="2613"/>
      <c r="H94" s="2613"/>
      <c r="I94" s="904"/>
      <c r="J94" s="900"/>
    </row>
    <row r="95" spans="1:21" s="51" customFormat="1" x14ac:dyDescent="0.35">
      <c r="A95" s="901"/>
      <c r="B95" s="931">
        <v>3</v>
      </c>
      <c r="C95" s="2515"/>
      <c r="D95" s="2516"/>
      <c r="E95" s="982">
        <v>0</v>
      </c>
      <c r="F95" s="2613">
        <v>0</v>
      </c>
      <c r="G95" s="2613"/>
      <c r="H95" s="2613"/>
      <c r="I95" s="904"/>
      <c r="J95" s="900"/>
      <c r="K95" s="10"/>
    </row>
    <row r="96" spans="1:21" x14ac:dyDescent="0.35">
      <c r="A96" s="901"/>
      <c r="B96" s="931"/>
      <c r="C96" s="2515"/>
      <c r="D96" s="2516"/>
      <c r="E96" s="982"/>
      <c r="F96" s="2613"/>
      <c r="G96" s="2613"/>
      <c r="H96" s="2613"/>
      <c r="I96" s="904"/>
      <c r="J96" s="900"/>
    </row>
    <row r="97" spans="1:11" s="285" customFormat="1" x14ac:dyDescent="0.35">
      <c r="A97" s="901"/>
      <c r="B97" s="1108"/>
      <c r="C97" s="2523" t="s">
        <v>116</v>
      </c>
      <c r="D97" s="2525"/>
      <c r="E97" s="1109">
        <f>SUM(E93:E95)</f>
        <v>0</v>
      </c>
      <c r="F97" s="2638">
        <f>SUM(F93:H96)</f>
        <v>0</v>
      </c>
      <c r="G97" s="2638"/>
      <c r="H97" s="2638"/>
      <c r="I97" s="904"/>
      <c r="J97" s="900"/>
      <c r="K97" s="286"/>
    </row>
    <row r="98" spans="1:11" s="306" customFormat="1" ht="15" customHeight="1" x14ac:dyDescent="0.35">
      <c r="A98" s="901"/>
      <c r="B98" s="932"/>
      <c r="C98" s="751"/>
      <c r="D98" s="751"/>
      <c r="E98" s="751"/>
      <c r="F98" s="751"/>
      <c r="G98" s="751"/>
      <c r="H98" s="751"/>
      <c r="I98" s="904"/>
      <c r="J98" s="900"/>
      <c r="K98" s="307"/>
    </row>
    <row r="99" spans="1:11" x14ac:dyDescent="0.35">
      <c r="A99" s="2508" t="str">
        <f>"Penyisihan Piutang Tak Tertagih – Piutang Jangka Pendek "&amp;TEXT($F$128,"Rp#.##0")</f>
        <v>Penyisihan Piutang Tak Tertagih – Piutang Jangka Pendek Rp0</v>
      </c>
      <c r="B99" s="911" t="s">
        <v>2236</v>
      </c>
      <c r="C99" s="904"/>
      <c r="D99" s="904"/>
      <c r="E99" s="904"/>
      <c r="F99" s="904"/>
      <c r="G99" s="904"/>
      <c r="H99" s="904"/>
      <c r="I99" s="904"/>
      <c r="J99" s="900"/>
    </row>
    <row r="100" spans="1:11" x14ac:dyDescent="0.35">
      <c r="A100" s="2508"/>
      <c r="B100" s="2192" t="str">
        <f>"Nilai Penyisihan Piutang Tak Tertagih-Piutang Lancar per "&amp;Input!M24&amp;" dan "&amp;Input!$T$25&amp;" adalah masing-masing sebesar "&amp;TEXT(Input!$I$668,"Rp#.##0")&amp;" dan "&amp;TEXT(Input!$K$668,"Rp#.##0")&amp;"."</f>
        <v>Nilai Penyisihan Piutang Tak Tertagih-Piutang Lancar per 31 Desember 2019 dan 31 Desember 2018 adalah masing-masing sebesar Rp0 dan Rp0.</v>
      </c>
      <c r="C100" s="2192"/>
      <c r="D100" s="2192"/>
      <c r="E100" s="2192"/>
      <c r="F100" s="2192"/>
      <c r="G100" s="2192"/>
      <c r="H100" s="2192"/>
      <c r="I100" s="2192"/>
      <c r="J100" s="905"/>
    </row>
    <row r="101" spans="1:11" s="51" customFormat="1" ht="24.75" hidden="1" customHeight="1" x14ac:dyDescent="0.35">
      <c r="A101" s="2362"/>
      <c r="B101" s="2192"/>
      <c r="C101" s="2192"/>
      <c r="D101" s="2192"/>
      <c r="E101" s="2192"/>
      <c r="F101" s="2192"/>
      <c r="G101" s="2192"/>
      <c r="H101" s="2192"/>
      <c r="I101" s="2192"/>
      <c r="J101" s="905"/>
      <c r="K101" s="10"/>
    </row>
    <row r="102" spans="1:11" s="468" customFormat="1" x14ac:dyDescent="0.35">
      <c r="A102" s="2362"/>
      <c r="B102" s="2118"/>
      <c r="C102" s="2118"/>
      <c r="D102" s="2118"/>
      <c r="E102" s="2118"/>
      <c r="F102" s="2118"/>
      <c r="G102" s="2118"/>
      <c r="H102" s="2118"/>
      <c r="I102" s="2118"/>
      <c r="J102" s="905"/>
      <c r="K102" s="544"/>
    </row>
    <row r="103" spans="1:11" x14ac:dyDescent="0.35">
      <c r="A103" s="2362"/>
      <c r="B103" s="2192" t="s">
        <v>1985</v>
      </c>
      <c r="C103" s="2192"/>
      <c r="D103" s="2192"/>
      <c r="E103" s="2192"/>
      <c r="F103" s="2192"/>
      <c r="G103" s="2192"/>
      <c r="H103" s="2192"/>
      <c r="I103" s="2192"/>
      <c r="J103" s="905"/>
    </row>
    <row r="104" spans="1:11" s="468" customFormat="1" x14ac:dyDescent="0.35">
      <c r="A104" s="901"/>
      <c r="B104" s="2192"/>
      <c r="C104" s="2192"/>
      <c r="D104" s="2192"/>
      <c r="E104" s="2192"/>
      <c r="F104" s="2192"/>
      <c r="G104" s="2192"/>
      <c r="H104" s="2192"/>
      <c r="I104" s="2192"/>
      <c r="J104" s="905"/>
      <c r="K104" s="544"/>
    </row>
    <row r="105" spans="1:11" s="468" customFormat="1" x14ac:dyDescent="0.35">
      <c r="A105" s="901"/>
      <c r="B105" s="2192"/>
      <c r="C105" s="2192"/>
      <c r="D105" s="2192"/>
      <c r="E105" s="2192"/>
      <c r="F105" s="2192"/>
      <c r="G105" s="2192"/>
      <c r="H105" s="2192"/>
      <c r="I105" s="2192"/>
      <c r="J105" s="905"/>
      <c r="K105" s="544"/>
    </row>
    <row r="106" spans="1:11" s="468" customFormat="1" x14ac:dyDescent="0.35">
      <c r="A106" s="901"/>
      <c r="B106" s="2118"/>
      <c r="C106" s="2118"/>
      <c r="D106" s="2118"/>
      <c r="E106" s="2118"/>
      <c r="F106" s="2118"/>
      <c r="G106" s="2118"/>
      <c r="H106" s="2118"/>
      <c r="I106" s="2118"/>
      <c r="J106" s="905"/>
      <c r="K106" s="544"/>
    </row>
    <row r="107" spans="1:11" x14ac:dyDescent="0.35">
      <c r="A107" s="901"/>
      <c r="B107" s="906"/>
      <c r="C107" s="2592"/>
      <c r="D107" s="2592"/>
      <c r="E107" s="2592"/>
      <c r="F107" s="2592"/>
      <c r="G107" s="2592"/>
      <c r="H107" s="2592"/>
      <c r="I107" s="2592"/>
      <c r="J107" s="900"/>
    </row>
    <row r="108" spans="1:11" x14ac:dyDescent="0.35">
      <c r="A108" s="901"/>
      <c r="B108" s="924"/>
      <c r="C108" s="2579" t="str">
        <f>"Rincian Penyisihan Piutang Tak Tertagih  -  Piutang Lancar "&amp;Input!$M$24&amp;" dan "&amp;Input!$T$25&amp;""</f>
        <v>Rincian Penyisihan Piutang Tak Tertagih  -  Piutang Lancar 31 Desember 2019 dan 31 Desember 2018</v>
      </c>
      <c r="D108" s="2579"/>
      <c r="E108" s="2579"/>
      <c r="F108" s="2579"/>
      <c r="G108" s="2579"/>
      <c r="H108" s="2579"/>
      <c r="I108" s="2579"/>
      <c r="J108" s="900"/>
    </row>
    <row r="109" spans="1:11" ht="28" x14ac:dyDescent="0.35">
      <c r="A109" s="901"/>
      <c r="B109" s="917"/>
      <c r="C109" s="933" t="s">
        <v>101</v>
      </c>
      <c r="D109" s="933" t="s">
        <v>1759</v>
      </c>
      <c r="E109" s="934" t="s">
        <v>1760</v>
      </c>
      <c r="F109" s="2609" t="s">
        <v>138</v>
      </c>
      <c r="G109" s="2610"/>
      <c r="H109" s="2611"/>
      <c r="I109" s="925"/>
      <c r="J109" s="900"/>
    </row>
    <row r="110" spans="1:11" x14ac:dyDescent="0.35">
      <c r="A110" s="901"/>
      <c r="B110" s="917"/>
      <c r="C110" s="935" t="s">
        <v>1761</v>
      </c>
      <c r="D110" s="936"/>
      <c r="E110" s="936"/>
      <c r="F110" s="2535"/>
      <c r="G110" s="2535"/>
      <c r="H110" s="2535"/>
      <c r="I110" s="925"/>
      <c r="J110" s="900"/>
    </row>
    <row r="111" spans="1:11" x14ac:dyDescent="0.35">
      <c r="A111" s="901"/>
      <c r="B111" s="917"/>
      <c r="C111" s="937" t="s">
        <v>103</v>
      </c>
      <c r="D111" s="1098"/>
      <c r="E111" s="1099">
        <v>5.0000000000000001E-3</v>
      </c>
      <c r="F111" s="2534">
        <f>D111*E111</f>
        <v>0</v>
      </c>
      <c r="G111" s="2534"/>
      <c r="H111" s="2534"/>
      <c r="I111" s="925"/>
      <c r="J111" s="900"/>
    </row>
    <row r="112" spans="1:11" x14ac:dyDescent="0.35">
      <c r="A112" s="901"/>
      <c r="B112" s="917"/>
      <c r="C112" s="937" t="s">
        <v>105</v>
      </c>
      <c r="D112" s="1098"/>
      <c r="E112" s="1100">
        <v>0.1</v>
      </c>
      <c r="F112" s="2534">
        <f>D112*E112</f>
        <v>0</v>
      </c>
      <c r="G112" s="2534"/>
      <c r="H112" s="2534"/>
      <c r="I112" s="925"/>
      <c r="J112" s="900"/>
    </row>
    <row r="113" spans="1:11" s="51" customFormat="1" x14ac:dyDescent="0.35">
      <c r="A113" s="901"/>
      <c r="B113" s="917"/>
      <c r="C113" s="937" t="s">
        <v>107</v>
      </c>
      <c r="D113" s="1098"/>
      <c r="E113" s="1100">
        <v>0.5</v>
      </c>
      <c r="F113" s="2534">
        <f>D113*E113</f>
        <v>0</v>
      </c>
      <c r="G113" s="2534"/>
      <c r="H113" s="2534"/>
      <c r="I113" s="925"/>
      <c r="J113" s="900"/>
      <c r="K113" s="10"/>
    </row>
    <row r="114" spans="1:11" s="51" customFormat="1" x14ac:dyDescent="0.35">
      <c r="A114" s="901"/>
      <c r="B114" s="917"/>
      <c r="C114" s="937" t="s">
        <v>109</v>
      </c>
      <c r="D114" s="1098"/>
      <c r="E114" s="1100">
        <v>1</v>
      </c>
      <c r="F114" s="2534">
        <f>D114*E114</f>
        <v>0</v>
      </c>
      <c r="G114" s="2534"/>
      <c r="H114" s="2534"/>
      <c r="I114" s="925"/>
      <c r="J114" s="900"/>
      <c r="K114" s="10"/>
    </row>
    <row r="115" spans="1:11" s="426" customFormat="1" x14ac:dyDescent="0.35">
      <c r="A115" s="901"/>
      <c r="B115" s="917"/>
      <c r="C115" s="935" t="s">
        <v>116</v>
      </c>
      <c r="D115" s="936">
        <f>SUM(D111:D114)</f>
        <v>0</v>
      </c>
      <c r="E115" s="936"/>
      <c r="F115" s="2535">
        <f>SUM(F111:H114)</f>
        <v>0</v>
      </c>
      <c r="G115" s="2535"/>
      <c r="H115" s="2535"/>
      <c r="I115" s="925"/>
      <c r="J115" s="900"/>
      <c r="K115" s="425"/>
    </row>
    <row r="116" spans="1:11" s="426" customFormat="1" x14ac:dyDescent="0.35">
      <c r="A116" s="901"/>
      <c r="B116" s="917"/>
      <c r="C116" s="935" t="s">
        <v>1726</v>
      </c>
      <c r="D116" s="936"/>
      <c r="E116" s="936"/>
      <c r="F116" s="2535"/>
      <c r="G116" s="2535"/>
      <c r="H116" s="2535"/>
      <c r="I116" s="925"/>
      <c r="J116" s="900"/>
      <c r="K116" s="425"/>
    </row>
    <row r="117" spans="1:11" s="426" customFormat="1" x14ac:dyDescent="0.35">
      <c r="A117" s="901"/>
      <c r="B117" s="917"/>
      <c r="C117" s="937" t="s">
        <v>103</v>
      </c>
      <c r="D117" s="1098"/>
      <c r="E117" s="1099">
        <v>5.0000000000000001E-3</v>
      </c>
      <c r="F117" s="2534">
        <f>D117*E117</f>
        <v>0</v>
      </c>
      <c r="G117" s="2534"/>
      <c r="H117" s="2534"/>
      <c r="I117" s="925"/>
      <c r="J117" s="900"/>
      <c r="K117" s="425"/>
    </row>
    <row r="118" spans="1:11" s="426" customFormat="1" x14ac:dyDescent="0.35">
      <c r="A118" s="901"/>
      <c r="B118" s="917"/>
      <c r="C118" s="937" t="s">
        <v>105</v>
      </c>
      <c r="D118" s="1098"/>
      <c r="E118" s="1100">
        <v>0.1</v>
      </c>
      <c r="F118" s="2534">
        <f>D118*E118</f>
        <v>0</v>
      </c>
      <c r="G118" s="2534"/>
      <c r="H118" s="2534"/>
      <c r="I118" s="925"/>
      <c r="J118" s="900"/>
      <c r="K118" s="425"/>
    </row>
    <row r="119" spans="1:11" s="426" customFormat="1" x14ac:dyDescent="0.35">
      <c r="A119" s="901"/>
      <c r="B119" s="917"/>
      <c r="C119" s="937" t="s">
        <v>107</v>
      </c>
      <c r="D119" s="1098"/>
      <c r="E119" s="1100">
        <v>0.5</v>
      </c>
      <c r="F119" s="2534">
        <f>D119*E119</f>
        <v>0</v>
      </c>
      <c r="G119" s="2534"/>
      <c r="H119" s="2534"/>
      <c r="I119" s="925"/>
      <c r="J119" s="900"/>
      <c r="K119" s="425"/>
    </row>
    <row r="120" spans="1:11" s="426" customFormat="1" x14ac:dyDescent="0.35">
      <c r="A120" s="901"/>
      <c r="B120" s="917"/>
      <c r="C120" s="937" t="s">
        <v>109</v>
      </c>
      <c r="D120" s="1098"/>
      <c r="E120" s="1100">
        <v>1</v>
      </c>
      <c r="F120" s="2534">
        <f>D120*E120</f>
        <v>0</v>
      </c>
      <c r="G120" s="2534"/>
      <c r="H120" s="2534"/>
      <c r="I120" s="925"/>
      <c r="J120" s="900"/>
      <c r="K120" s="425"/>
    </row>
    <row r="121" spans="1:11" s="426" customFormat="1" x14ac:dyDescent="0.35">
      <c r="A121" s="901"/>
      <c r="B121" s="917"/>
      <c r="C121" s="935" t="s">
        <v>116</v>
      </c>
      <c r="D121" s="936">
        <f>SUM(D117:D120)</f>
        <v>0</v>
      </c>
      <c r="E121" s="936"/>
      <c r="F121" s="2535">
        <f>SUM(F117:H120)</f>
        <v>0</v>
      </c>
      <c r="G121" s="2535"/>
      <c r="H121" s="2535"/>
      <c r="I121" s="925"/>
      <c r="J121" s="900"/>
      <c r="K121" s="425"/>
    </row>
    <row r="122" spans="1:11" s="426" customFormat="1" x14ac:dyDescent="0.35">
      <c r="A122" s="901"/>
      <c r="B122" s="917"/>
      <c r="C122" s="935" t="s">
        <v>1762</v>
      </c>
      <c r="D122" s="936"/>
      <c r="E122" s="936"/>
      <c r="F122" s="2535"/>
      <c r="G122" s="2535"/>
      <c r="H122" s="2535"/>
      <c r="I122" s="925"/>
      <c r="J122" s="900"/>
      <c r="K122" s="425"/>
    </row>
    <row r="123" spans="1:11" s="426" customFormat="1" x14ac:dyDescent="0.35">
      <c r="A123" s="901"/>
      <c r="B123" s="917"/>
      <c r="C123" s="938" t="s">
        <v>103</v>
      </c>
      <c r="D123" s="1098"/>
      <c r="E123" s="1099">
        <v>5.0000000000000001E-3</v>
      </c>
      <c r="F123" s="2534">
        <f>D123*E123</f>
        <v>0</v>
      </c>
      <c r="G123" s="2534"/>
      <c r="H123" s="2534"/>
      <c r="I123" s="925"/>
      <c r="J123" s="900"/>
      <c r="K123" s="425"/>
    </row>
    <row r="124" spans="1:11" s="426" customFormat="1" x14ac:dyDescent="0.35">
      <c r="A124" s="901"/>
      <c r="B124" s="917"/>
      <c r="C124" s="937" t="s">
        <v>105</v>
      </c>
      <c r="D124" s="1098"/>
      <c r="E124" s="1100">
        <v>0.1</v>
      </c>
      <c r="F124" s="2534">
        <f>D124*E124</f>
        <v>0</v>
      </c>
      <c r="G124" s="2534"/>
      <c r="H124" s="2534"/>
      <c r="I124" s="925"/>
      <c r="J124" s="900"/>
      <c r="K124" s="425"/>
    </row>
    <row r="125" spans="1:11" s="426" customFormat="1" x14ac:dyDescent="0.35">
      <c r="A125" s="901"/>
      <c r="B125" s="917"/>
      <c r="C125" s="937" t="s">
        <v>107</v>
      </c>
      <c r="D125" s="1098"/>
      <c r="E125" s="1100">
        <v>0.5</v>
      </c>
      <c r="F125" s="2534">
        <f>D125*E125</f>
        <v>0</v>
      </c>
      <c r="G125" s="2534"/>
      <c r="H125" s="2534"/>
      <c r="I125" s="925"/>
      <c r="J125" s="900"/>
      <c r="K125" s="425"/>
    </row>
    <row r="126" spans="1:11" x14ac:dyDescent="0.35">
      <c r="A126" s="901"/>
      <c r="B126" s="917"/>
      <c r="C126" s="937" t="s">
        <v>109</v>
      </c>
      <c r="D126" s="1098"/>
      <c r="E126" s="1100">
        <v>1</v>
      </c>
      <c r="F126" s="2534">
        <f>D126*E126</f>
        <v>0</v>
      </c>
      <c r="G126" s="2534"/>
      <c r="H126" s="2534"/>
      <c r="I126" s="925"/>
      <c r="J126" s="900"/>
    </row>
    <row r="127" spans="1:11" x14ac:dyDescent="0.35">
      <c r="A127" s="901"/>
      <c r="B127" s="904"/>
      <c r="C127" s="935" t="s">
        <v>116</v>
      </c>
      <c r="D127" s="936">
        <f>SUM(D123:D126)</f>
        <v>0</v>
      </c>
      <c r="E127" s="936"/>
      <c r="F127" s="2535">
        <f>SUM(F123:H126)</f>
        <v>0</v>
      </c>
      <c r="G127" s="2535"/>
      <c r="H127" s="2535"/>
      <c r="I127" s="904"/>
      <c r="J127" s="900"/>
    </row>
    <row r="128" spans="1:11" s="426" customFormat="1" ht="28" x14ac:dyDescent="0.35">
      <c r="A128" s="901"/>
      <c r="B128" s="904"/>
      <c r="C128" s="1101" t="s">
        <v>1763</v>
      </c>
      <c r="D128" s="1107">
        <f>D115+D121+D127</f>
        <v>0</v>
      </c>
      <c r="E128" s="1107"/>
      <c r="F128" s="2536">
        <f>F115+F121+F127</f>
        <v>0</v>
      </c>
      <c r="G128" s="2537"/>
      <c r="H128" s="2538"/>
      <c r="I128" s="904"/>
      <c r="J128" s="900"/>
      <c r="K128" s="425"/>
    </row>
    <row r="129" spans="1:11" s="426" customFormat="1" x14ac:dyDescent="0.35">
      <c r="A129" s="901"/>
      <c r="B129" s="904"/>
      <c r="C129" s="865"/>
      <c r="D129" s="904"/>
      <c r="E129" s="904"/>
      <c r="F129" s="904"/>
      <c r="G129" s="904"/>
      <c r="H129" s="904"/>
      <c r="I129" s="904"/>
      <c r="J129" s="900"/>
      <c r="K129" s="425"/>
    </row>
    <row r="130" spans="1:11" x14ac:dyDescent="0.35">
      <c r="A130" s="2533" t="str">
        <f>"Belanja Dibayar di Muka "&amp;TEXT($E$143,"Rp#.##0")</f>
        <v>Belanja Dibayar di Muka Rp0</v>
      </c>
      <c r="B130" s="911" t="s">
        <v>2238</v>
      </c>
      <c r="C130" s="904"/>
      <c r="D130" s="904"/>
      <c r="E130" s="904"/>
      <c r="F130" s="904"/>
      <c r="G130" s="904"/>
      <c r="H130" s="904"/>
      <c r="I130" s="904"/>
      <c r="J130" s="900"/>
    </row>
    <row r="131" spans="1:11" x14ac:dyDescent="0.35">
      <c r="A131" s="2533"/>
      <c r="B131" s="2192" t="str">
        <f>"Saldo Belanja Dibayar di Muka per tanggal "&amp;Input!Q24&amp;" dan "&amp;Input!$T$25&amp;" adalah masing-masing sebesar "&amp;TEXT(Input!$I$669,"Rp#.##0")&amp;" dan "&amp;TEXT(Input!$K$669,"Rp#.##0")&amp;"."</f>
        <v>Saldo Belanja Dibayar di Muka per tanggal 31 Desember 2019 dan 31 Desember 2018 adalah masing-masing sebesar Rp0 dan Rp0.</v>
      </c>
      <c r="C131" s="2192"/>
      <c r="D131" s="2192"/>
      <c r="E131" s="2192"/>
      <c r="F131" s="2192"/>
      <c r="G131" s="2192"/>
      <c r="H131" s="2192"/>
      <c r="I131" s="2192"/>
      <c r="J131" s="905"/>
    </row>
    <row r="132" spans="1:11" s="468" customFormat="1" x14ac:dyDescent="0.35">
      <c r="A132" s="2533"/>
      <c r="B132" s="2118"/>
      <c r="C132" s="2118"/>
      <c r="D132" s="2118"/>
      <c r="E132" s="2118"/>
      <c r="F132" s="2118"/>
      <c r="G132" s="2118"/>
      <c r="H132" s="2118"/>
      <c r="I132" s="2118"/>
      <c r="J132" s="905"/>
      <c r="K132" s="544"/>
    </row>
    <row r="133" spans="1:11" x14ac:dyDescent="0.35">
      <c r="A133" s="2533"/>
      <c r="B133" s="2192" t="s">
        <v>1986</v>
      </c>
      <c r="C133" s="2192"/>
      <c r="D133" s="2192"/>
      <c r="E133" s="2192"/>
      <c r="F133" s="2192"/>
      <c r="G133" s="2192"/>
      <c r="H133" s="2192"/>
      <c r="I133" s="2192"/>
      <c r="J133" s="905"/>
    </row>
    <row r="134" spans="1:11" s="468" customFormat="1" x14ac:dyDescent="0.35">
      <c r="A134" s="901"/>
      <c r="B134" s="2192"/>
      <c r="C134" s="2192"/>
      <c r="D134" s="2192"/>
      <c r="E134" s="2192"/>
      <c r="F134" s="2192"/>
      <c r="G134" s="2192"/>
      <c r="H134" s="2192"/>
      <c r="I134" s="2192"/>
      <c r="J134" s="905"/>
      <c r="K134" s="544"/>
    </row>
    <row r="135" spans="1:11" s="468" customFormat="1" x14ac:dyDescent="0.35">
      <c r="A135" s="901"/>
      <c r="B135" s="2118"/>
      <c r="C135" s="2118"/>
      <c r="D135" s="2118"/>
      <c r="E135" s="2118"/>
      <c r="F135" s="2118"/>
      <c r="G135" s="2118"/>
      <c r="H135" s="2118"/>
      <c r="I135" s="2118"/>
      <c r="J135" s="905"/>
      <c r="K135" s="544"/>
    </row>
    <row r="136" spans="1:11" ht="17.25" customHeight="1" x14ac:dyDescent="0.35">
      <c r="A136" s="901"/>
      <c r="B136" s="906"/>
      <c r="C136" s="906"/>
      <c r="D136" s="906"/>
      <c r="E136" s="904"/>
      <c r="F136" s="904"/>
      <c r="G136" s="904"/>
      <c r="H136" s="904"/>
      <c r="I136" s="904"/>
      <c r="J136" s="900"/>
    </row>
    <row r="137" spans="1:11" ht="15.75" customHeight="1" x14ac:dyDescent="0.35">
      <c r="A137" s="901"/>
      <c r="B137" s="2539" t="str">
        <f>"Rincian Belanja Dibayar di Muka "&amp;Input!$M$24&amp;" dan "&amp;Input!$T$25&amp;""</f>
        <v>Rincian Belanja Dibayar di Muka 31 Desember 2019 dan 31 Desember 2018</v>
      </c>
      <c r="C137" s="2539"/>
      <c r="D137" s="2539"/>
      <c r="E137" s="2539"/>
      <c r="F137" s="2539"/>
      <c r="G137" s="2539"/>
      <c r="H137" s="2539"/>
      <c r="I137" s="904"/>
      <c r="J137" s="900"/>
    </row>
    <row r="138" spans="1:11" ht="21" customHeight="1" x14ac:dyDescent="0.35">
      <c r="A138" s="901"/>
      <c r="B138" s="981" t="s">
        <v>133</v>
      </c>
      <c r="C138" s="2510" t="s">
        <v>131</v>
      </c>
      <c r="D138" s="2511"/>
      <c r="E138" s="934" t="str">
        <f>Input!$M$24</f>
        <v>31 Desember 2019</v>
      </c>
      <c r="F138" s="2540" t="str">
        <f>Input!$T$25</f>
        <v>31 Desember 2018</v>
      </c>
      <c r="G138" s="2541"/>
      <c r="H138" s="2542"/>
      <c r="I138" s="904"/>
      <c r="J138" s="900"/>
    </row>
    <row r="139" spans="1:11" x14ac:dyDescent="0.35">
      <c r="A139" s="901"/>
      <c r="B139" s="913">
        <v>1</v>
      </c>
      <c r="C139" s="2543"/>
      <c r="D139" s="2544"/>
      <c r="E139" s="940"/>
      <c r="F139" s="2545"/>
      <c r="G139" s="2545"/>
      <c r="H139" s="2545"/>
      <c r="I139" s="904"/>
      <c r="J139" s="900"/>
    </row>
    <row r="140" spans="1:11" x14ac:dyDescent="0.35">
      <c r="A140" s="901"/>
      <c r="B140" s="914">
        <v>2</v>
      </c>
      <c r="C140" s="2528"/>
      <c r="D140" s="2529"/>
      <c r="E140" s="941">
        <v>0</v>
      </c>
      <c r="F140" s="2530">
        <v>0</v>
      </c>
      <c r="G140" s="2530"/>
      <c r="H140" s="2530"/>
      <c r="I140" s="904"/>
      <c r="J140" s="900"/>
    </row>
    <row r="141" spans="1:11" x14ac:dyDescent="0.35">
      <c r="A141" s="901"/>
      <c r="B141" s="914">
        <v>3</v>
      </c>
      <c r="C141" s="2528"/>
      <c r="D141" s="2529"/>
      <c r="E141" s="941">
        <v>0</v>
      </c>
      <c r="F141" s="2530">
        <v>0</v>
      </c>
      <c r="G141" s="2530"/>
      <c r="H141" s="2530"/>
      <c r="I141" s="904"/>
      <c r="J141" s="900"/>
    </row>
    <row r="142" spans="1:11" s="211" customFormat="1" x14ac:dyDescent="0.35">
      <c r="A142" s="901"/>
      <c r="B142" s="915"/>
      <c r="C142" s="2531"/>
      <c r="D142" s="2532"/>
      <c r="E142" s="942"/>
      <c r="F142" s="2639"/>
      <c r="G142" s="2639"/>
      <c r="H142" s="2639"/>
      <c r="I142" s="904"/>
      <c r="J142" s="900"/>
      <c r="K142" s="10"/>
    </row>
    <row r="143" spans="1:11" ht="23.25" customHeight="1" x14ac:dyDescent="0.35">
      <c r="A143" s="901"/>
      <c r="B143" s="2586" t="s">
        <v>116</v>
      </c>
      <c r="C143" s="2643"/>
      <c r="D143" s="2587"/>
      <c r="E143" s="1106">
        <f>SUM(E139:E142)</f>
        <v>0</v>
      </c>
      <c r="F143" s="2520">
        <f>SUM(F139:H142)</f>
        <v>0</v>
      </c>
      <c r="G143" s="2520"/>
      <c r="H143" s="2520"/>
      <c r="I143" s="904"/>
      <c r="J143" s="900"/>
    </row>
    <row r="144" spans="1:11" x14ac:dyDescent="0.35">
      <c r="A144" s="901"/>
      <c r="B144" s="904"/>
      <c r="C144" s="904"/>
      <c r="D144" s="904"/>
      <c r="E144" s="904"/>
      <c r="F144" s="904"/>
      <c r="G144" s="904"/>
      <c r="H144" s="904"/>
      <c r="I144" s="904"/>
      <c r="J144" s="900"/>
    </row>
    <row r="145" spans="1:11" s="468" customFormat="1" x14ac:dyDescent="0.35">
      <c r="A145" s="2533" t="str">
        <f>"Pendapatan yang Masih Harus Diterima "&amp;TEXT($E$156,"Rp#.##0")</f>
        <v>Pendapatan yang Masih Harus Diterima Rp0</v>
      </c>
      <c r="B145" s="911" t="s">
        <v>2237</v>
      </c>
      <c r="C145" s="904"/>
      <c r="D145" s="904"/>
      <c r="E145" s="904"/>
      <c r="F145" s="904"/>
      <c r="G145" s="904"/>
      <c r="H145" s="904"/>
      <c r="I145" s="904"/>
      <c r="J145" s="900"/>
      <c r="K145" s="544"/>
    </row>
    <row r="146" spans="1:11" s="468" customFormat="1" x14ac:dyDescent="0.35">
      <c r="A146" s="2533"/>
      <c r="B146" s="2192" t="str">
        <f>"Pendapatan yang Masih Harus Diterima per tanggal "&amp;Input!Q24&amp;" dan "&amp;Input!$T$25&amp;" adalah masing-masing sebesar "&amp;TEXT(Input!$I$670,"Rp#.##0")&amp;" dan "&amp;TEXT(Input!$K$670,"Rp#.##0")&amp;"."</f>
        <v>Pendapatan yang Masih Harus Diterima per tanggal 31 Desember 2019 dan 31 Desember 2018 adalah masing-masing sebesar Rp0 dan Rp0.</v>
      </c>
      <c r="C146" s="2192"/>
      <c r="D146" s="2192"/>
      <c r="E146" s="2192"/>
      <c r="F146" s="2192"/>
      <c r="G146" s="2192"/>
      <c r="H146" s="2192"/>
      <c r="I146" s="2192"/>
      <c r="J146" s="900"/>
      <c r="K146" s="544"/>
    </row>
    <row r="147" spans="1:11" s="468" customFormat="1" x14ac:dyDescent="0.35">
      <c r="A147" s="2533"/>
      <c r="B147" s="2118"/>
      <c r="C147" s="2118"/>
      <c r="D147" s="2118"/>
      <c r="E147" s="2118"/>
      <c r="F147" s="2118"/>
      <c r="G147" s="2118"/>
      <c r="H147" s="2118"/>
      <c r="I147" s="2118"/>
      <c r="J147" s="900"/>
      <c r="K147" s="544"/>
    </row>
    <row r="148" spans="1:11" s="468" customFormat="1" x14ac:dyDescent="0.35">
      <c r="A148" s="2533"/>
      <c r="B148" s="2192" t="s">
        <v>2154</v>
      </c>
      <c r="C148" s="2192"/>
      <c r="D148" s="2192"/>
      <c r="E148" s="2192"/>
      <c r="F148" s="2192"/>
      <c r="G148" s="2192"/>
      <c r="H148" s="2192"/>
      <c r="I148" s="2192"/>
      <c r="J148" s="900"/>
      <c r="K148" s="544"/>
    </row>
    <row r="149" spans="1:11" s="468" customFormat="1" x14ac:dyDescent="0.35">
      <c r="A149" s="901"/>
      <c r="B149" s="2192"/>
      <c r="C149" s="2192"/>
      <c r="D149" s="2192"/>
      <c r="E149" s="2192"/>
      <c r="F149" s="2192"/>
      <c r="G149" s="2192"/>
      <c r="H149" s="2192"/>
      <c r="I149" s="2192"/>
      <c r="J149" s="900"/>
      <c r="K149" s="544"/>
    </row>
    <row r="150" spans="1:11" s="468" customFormat="1" x14ac:dyDescent="0.35">
      <c r="A150" s="901"/>
      <c r="B150" s="2118"/>
      <c r="C150" s="2118"/>
      <c r="D150" s="2118"/>
      <c r="E150" s="2118"/>
      <c r="F150" s="2118"/>
      <c r="G150" s="2118"/>
      <c r="H150" s="2118"/>
      <c r="I150" s="2118"/>
      <c r="J150" s="900"/>
      <c r="K150" s="544"/>
    </row>
    <row r="151" spans="1:11" s="468" customFormat="1" ht="9.75" customHeight="1" x14ac:dyDescent="0.35">
      <c r="A151" s="901"/>
      <c r="B151" s="904"/>
      <c r="C151" s="904"/>
      <c r="D151" s="904"/>
      <c r="E151" s="904"/>
      <c r="F151" s="904"/>
      <c r="G151" s="904"/>
      <c r="H151" s="904"/>
      <c r="I151" s="904"/>
      <c r="J151" s="900"/>
      <c r="K151" s="544"/>
    </row>
    <row r="152" spans="1:11" s="468" customFormat="1" x14ac:dyDescent="0.35">
      <c r="A152" s="901"/>
      <c r="B152" s="2539" t="str">
        <f>"Perbandingan Rincian Pendapatan yang Masih Diterima "&amp;Input!$M$24&amp;" dan "&amp;Input!$T$25&amp;""</f>
        <v>Perbandingan Rincian Pendapatan yang Masih Diterima 31 Desember 2019 dan 31 Desember 2018</v>
      </c>
      <c r="C152" s="2539"/>
      <c r="D152" s="2539"/>
      <c r="E152" s="2539"/>
      <c r="F152" s="2539"/>
      <c r="G152" s="2539"/>
      <c r="H152" s="2539"/>
      <c r="I152" s="904"/>
      <c r="J152" s="900"/>
      <c r="K152" s="544"/>
    </row>
    <row r="153" spans="1:11" s="468" customFormat="1" x14ac:dyDescent="0.35">
      <c r="A153" s="901"/>
      <c r="B153" s="981" t="s">
        <v>133</v>
      </c>
      <c r="C153" s="2510" t="s">
        <v>131</v>
      </c>
      <c r="D153" s="2511"/>
      <c r="E153" s="934" t="str">
        <f>Input!$M$24</f>
        <v>31 Desember 2019</v>
      </c>
      <c r="F153" s="2540" t="str">
        <f>Input!$T$25</f>
        <v>31 Desember 2018</v>
      </c>
      <c r="G153" s="2541"/>
      <c r="H153" s="2542"/>
      <c r="I153" s="904"/>
      <c r="J153" s="900"/>
      <c r="K153" s="544"/>
    </row>
    <row r="154" spans="1:11" s="468" customFormat="1" x14ac:dyDescent="0.35">
      <c r="A154" s="901"/>
      <c r="B154" s="913">
        <v>1</v>
      </c>
      <c r="C154" s="2543"/>
      <c r="D154" s="2544"/>
      <c r="E154" s="940"/>
      <c r="F154" s="2545"/>
      <c r="G154" s="2545"/>
      <c r="H154" s="2545"/>
      <c r="I154" s="904"/>
      <c r="J154" s="900"/>
      <c r="K154" s="544"/>
    </row>
    <row r="155" spans="1:11" s="468" customFormat="1" x14ac:dyDescent="0.35">
      <c r="A155" s="901"/>
      <c r="B155" s="914">
        <v>2</v>
      </c>
      <c r="C155" s="2528"/>
      <c r="D155" s="2529"/>
      <c r="E155" s="941">
        <v>0</v>
      </c>
      <c r="F155" s="2530">
        <v>0</v>
      </c>
      <c r="G155" s="2530"/>
      <c r="H155" s="2530"/>
      <c r="I155" s="904"/>
      <c r="J155" s="900"/>
      <c r="K155" s="544"/>
    </row>
    <row r="156" spans="1:11" s="468" customFormat="1" ht="19.5" customHeight="1" x14ac:dyDescent="0.35">
      <c r="A156" s="901"/>
      <c r="B156" s="2586" t="s">
        <v>116</v>
      </c>
      <c r="C156" s="2643"/>
      <c r="D156" s="2587"/>
      <c r="E156" s="1105">
        <f>SUM(E154:E155)</f>
        <v>0</v>
      </c>
      <c r="F156" s="2761">
        <f>SUM(F154:H155)</f>
        <v>0</v>
      </c>
      <c r="G156" s="2761"/>
      <c r="H156" s="2761"/>
      <c r="I156" s="904"/>
      <c r="J156" s="900"/>
      <c r="K156" s="544"/>
    </row>
    <row r="157" spans="1:11" s="474" customFormat="1" ht="9" customHeight="1" x14ac:dyDescent="0.35">
      <c r="A157" s="987"/>
      <c r="B157" s="988"/>
      <c r="C157" s="988"/>
      <c r="D157" s="988"/>
      <c r="E157" s="989"/>
      <c r="F157" s="989"/>
      <c r="G157" s="989"/>
      <c r="H157" s="989"/>
      <c r="I157" s="990"/>
      <c r="J157" s="991"/>
      <c r="K157" s="463"/>
    </row>
    <row r="158" spans="1:11" ht="15.75" customHeight="1" x14ac:dyDescent="0.35">
      <c r="A158" s="2508" t="str">
        <f>"Persediaan "&amp;TEXT(Input!$I$671,"Rp#.##0")</f>
        <v>Persediaan Rp6.258.600</v>
      </c>
      <c r="B158" s="911" t="s">
        <v>2239</v>
      </c>
      <c r="C158" s="904"/>
      <c r="D158" s="904"/>
      <c r="E158" s="904"/>
      <c r="F158" s="904"/>
      <c r="G158" s="904"/>
      <c r="H158" s="904"/>
      <c r="I158" s="904"/>
      <c r="J158" s="900"/>
    </row>
    <row r="159" spans="1:11" ht="9.75" customHeight="1" x14ac:dyDescent="0.35">
      <c r="A159" s="2508"/>
      <c r="B159" s="2192" t="str">
        <f>"Nilai Persediaan per "&amp;Input!Q24&amp;" dan   "&amp;Input!$T$25&amp;" adalah masing-masing sebesar "&amp;TEXT(Input!$I$671,"Rp#.##0")&amp;" dan "&amp;TEXT(Input!$K$671,"Rp#.##0")&amp;"."</f>
        <v>Nilai Persediaan per 31 Desember 2019 dan   31 Desember 2018 adalah masing-masing sebesar Rp6.258.600 dan Rp365.000.</v>
      </c>
      <c r="C159" s="2192"/>
      <c r="D159" s="2192"/>
      <c r="E159" s="2192"/>
      <c r="F159" s="2192"/>
      <c r="G159" s="2192"/>
      <c r="H159" s="2192"/>
      <c r="I159" s="2192"/>
      <c r="J159" s="905"/>
    </row>
    <row r="160" spans="1:11" s="468" customFormat="1" ht="12" customHeight="1" x14ac:dyDescent="0.35">
      <c r="A160" s="2362"/>
      <c r="B160" s="2118"/>
      <c r="C160" s="2118"/>
      <c r="D160" s="2118"/>
      <c r="E160" s="2118"/>
      <c r="F160" s="2118"/>
      <c r="G160" s="2118"/>
      <c r="H160" s="2118"/>
      <c r="I160" s="2118"/>
      <c r="J160" s="905"/>
      <c r="K160" s="544"/>
    </row>
    <row r="161" spans="1:11" s="468" customFormat="1" ht="12" customHeight="1" x14ac:dyDescent="0.35">
      <c r="A161" s="2362"/>
      <c r="B161" s="2118"/>
      <c r="C161" s="2118"/>
      <c r="D161" s="2118"/>
      <c r="E161" s="2118"/>
      <c r="F161" s="2118"/>
      <c r="G161" s="2118"/>
      <c r="H161" s="2118"/>
      <c r="I161" s="2118"/>
      <c r="J161" s="905"/>
      <c r="K161" s="544"/>
    </row>
    <row r="162" spans="1:11" x14ac:dyDescent="0.35">
      <c r="A162" s="901"/>
      <c r="B162" s="2192" t="s">
        <v>1988</v>
      </c>
      <c r="C162" s="2192"/>
      <c r="D162" s="2192"/>
      <c r="E162" s="2192"/>
      <c r="F162" s="2192"/>
      <c r="G162" s="2192"/>
      <c r="H162" s="2192"/>
      <c r="I162" s="2192"/>
      <c r="J162" s="905"/>
    </row>
    <row r="163" spans="1:11" s="468" customFormat="1" x14ac:dyDescent="0.35">
      <c r="A163" s="901"/>
      <c r="B163" s="2192"/>
      <c r="C163" s="2192"/>
      <c r="D163" s="2192"/>
      <c r="E163" s="2192"/>
      <c r="F163" s="2192"/>
      <c r="G163" s="2192"/>
      <c r="H163" s="2192"/>
      <c r="I163" s="2192"/>
      <c r="J163" s="905"/>
      <c r="K163" s="544"/>
    </row>
    <row r="164" spans="1:11" s="468" customFormat="1" x14ac:dyDescent="0.35">
      <c r="A164" s="901"/>
      <c r="B164" s="2118"/>
      <c r="C164" s="2118"/>
      <c r="D164" s="2118"/>
      <c r="E164" s="2118"/>
      <c r="F164" s="2118"/>
      <c r="G164" s="2118"/>
      <c r="H164" s="2118"/>
      <c r="I164" s="2118"/>
      <c r="J164" s="905"/>
      <c r="K164" s="544"/>
    </row>
    <row r="165" spans="1:11" s="426" customFormat="1" ht="16.5" customHeight="1" x14ac:dyDescent="0.35">
      <c r="A165" s="901"/>
      <c r="B165" s="2509" t="str">
        <f>"Rincian Persediaan per "&amp;Input!Q24&amp;" dan "&amp;Input!$T$25&amp;" adalah sebagai berikut:"</f>
        <v>Rincian Persediaan per 31 Desember 2019 dan 31 Desember 2018 adalah sebagai berikut:</v>
      </c>
      <c r="C165" s="2509"/>
      <c r="D165" s="2509"/>
      <c r="E165" s="2509"/>
      <c r="F165" s="2509"/>
      <c r="G165" s="2509"/>
      <c r="H165" s="2509"/>
      <c r="I165" s="2509"/>
      <c r="J165" s="905"/>
      <c r="K165" s="425"/>
    </row>
    <row r="166" spans="1:11" s="426" customFormat="1" ht="16.5" customHeight="1" x14ac:dyDescent="0.35">
      <c r="A166" s="901"/>
      <c r="B166" s="943"/>
      <c r="C166" s="943"/>
      <c r="D166" s="943"/>
      <c r="E166" s="943"/>
      <c r="F166" s="943"/>
      <c r="G166" s="943"/>
      <c r="H166" s="943"/>
      <c r="I166" s="943"/>
      <c r="J166" s="905"/>
      <c r="K166" s="425"/>
    </row>
    <row r="167" spans="1:11" ht="17.25" customHeight="1" x14ac:dyDescent="0.35">
      <c r="A167" s="901"/>
      <c r="B167" s="2490" t="str">
        <f>"Rincian Persediaan "&amp;Input!$M$24&amp;" dan "&amp;Input!$T$25&amp;""</f>
        <v>Rincian Persediaan 31 Desember 2019 dan 31 Desember 2018</v>
      </c>
      <c r="C167" s="2490"/>
      <c r="D167" s="2490"/>
      <c r="E167" s="2490"/>
      <c r="F167" s="2490"/>
      <c r="G167" s="2490"/>
      <c r="H167" s="2490"/>
      <c r="I167" s="904"/>
      <c r="J167" s="900"/>
    </row>
    <row r="168" spans="1:11" x14ac:dyDescent="0.35">
      <c r="A168" s="901"/>
      <c r="B168" s="981" t="s">
        <v>133</v>
      </c>
      <c r="C168" s="2510" t="s">
        <v>77</v>
      </c>
      <c r="D168" s="2511"/>
      <c r="E168" s="1271" t="str">
        <f>Input!$M$24</f>
        <v>31 Desember 2019</v>
      </c>
      <c r="F168" s="2512" t="str">
        <f>Input!$T$25</f>
        <v>31 Desember 2018</v>
      </c>
      <c r="G168" s="2513"/>
      <c r="H168" s="2514"/>
      <c r="I168" s="906"/>
      <c r="J168" s="900"/>
    </row>
    <row r="169" spans="1:11" x14ac:dyDescent="0.35">
      <c r="A169" s="901"/>
      <c r="B169" s="931">
        <v>1</v>
      </c>
      <c r="C169" s="2521" t="s">
        <v>1135</v>
      </c>
      <c r="D169" s="2522"/>
      <c r="E169" s="982">
        <v>6285600</v>
      </c>
      <c r="F169" s="2517">
        <v>365000</v>
      </c>
      <c r="G169" s="2518"/>
      <c r="H169" s="2519"/>
      <c r="I169" s="904"/>
      <c r="J169" s="900"/>
    </row>
    <row r="170" spans="1:11" x14ac:dyDescent="0.35">
      <c r="A170" s="901"/>
      <c r="B170" s="931">
        <v>2</v>
      </c>
      <c r="C170" s="2521" t="s">
        <v>1765</v>
      </c>
      <c r="D170" s="2522"/>
      <c r="E170" s="982">
        <v>0</v>
      </c>
      <c r="F170" s="2517"/>
      <c r="G170" s="2518">
        <v>0</v>
      </c>
      <c r="H170" s="2519">
        <v>0</v>
      </c>
      <c r="I170" s="865"/>
      <c r="J170" s="900"/>
    </row>
    <row r="171" spans="1:11" s="426" customFormat="1" ht="30" customHeight="1" x14ac:dyDescent="0.35">
      <c r="A171" s="901"/>
      <c r="B171" s="868">
        <v>3</v>
      </c>
      <c r="C171" s="2623" t="s">
        <v>2060</v>
      </c>
      <c r="D171" s="2624"/>
      <c r="E171" s="1273">
        <v>0</v>
      </c>
      <c r="F171" s="2620">
        <v>0</v>
      </c>
      <c r="G171" s="2621"/>
      <c r="H171" s="2622"/>
      <c r="I171" s="865"/>
      <c r="J171" s="900"/>
      <c r="K171" s="425"/>
    </row>
    <row r="172" spans="1:11" s="468" customFormat="1" x14ac:dyDescent="0.35">
      <c r="A172" s="1256"/>
      <c r="B172" s="931">
        <v>4</v>
      </c>
      <c r="C172" s="2521" t="s">
        <v>2061</v>
      </c>
      <c r="D172" s="2522"/>
      <c r="E172" s="982">
        <v>0</v>
      </c>
      <c r="F172" s="2517">
        <v>0</v>
      </c>
      <c r="G172" s="2518">
        <v>0</v>
      </c>
      <c r="H172" s="2519">
        <v>0</v>
      </c>
      <c r="I172" s="865"/>
      <c r="J172" s="900"/>
      <c r="K172" s="544"/>
    </row>
    <row r="173" spans="1:11" x14ac:dyDescent="0.35">
      <c r="A173" s="901"/>
      <c r="B173" s="1272">
        <v>5</v>
      </c>
      <c r="C173" s="2521" t="s">
        <v>1137</v>
      </c>
      <c r="D173" s="2522"/>
      <c r="E173" s="982">
        <v>0</v>
      </c>
      <c r="F173" s="2517">
        <v>0</v>
      </c>
      <c r="G173" s="2518">
        <v>0</v>
      </c>
      <c r="H173" s="2519">
        <v>0</v>
      </c>
      <c r="I173" s="865"/>
      <c r="J173" s="900"/>
    </row>
    <row r="174" spans="1:11" x14ac:dyDescent="0.35">
      <c r="A174" s="901"/>
      <c r="B174" s="2523" t="s">
        <v>116</v>
      </c>
      <c r="C174" s="2524"/>
      <c r="D174" s="2525"/>
      <c r="E174" s="1103">
        <f>SUM(E169:E173)</f>
        <v>6285600</v>
      </c>
      <c r="F174" s="2526">
        <f>SUM(F169:H173)</f>
        <v>365000</v>
      </c>
      <c r="G174" s="2527"/>
      <c r="H174" s="2527"/>
      <c r="I174" s="865"/>
      <c r="J174" s="900"/>
    </row>
    <row r="175" spans="1:11" x14ac:dyDescent="0.35">
      <c r="A175" s="901"/>
      <c r="B175" s="726"/>
      <c r="C175" s="865"/>
      <c r="D175" s="865"/>
      <c r="E175" s="865"/>
      <c r="F175" s="865"/>
      <c r="G175" s="865"/>
      <c r="H175" s="865"/>
      <c r="I175" s="865"/>
      <c r="J175" s="900"/>
    </row>
    <row r="176" spans="1:11" ht="11.25" customHeight="1" x14ac:dyDescent="0.35">
      <c r="A176" s="901"/>
      <c r="B176" s="2192" t="s">
        <v>1989</v>
      </c>
      <c r="C176" s="2192"/>
      <c r="D176" s="2192"/>
      <c r="E176" s="2192"/>
      <c r="F176" s="2192"/>
      <c r="G176" s="2192"/>
      <c r="H176" s="2192"/>
      <c r="I176" s="2192"/>
      <c r="J176" s="900"/>
    </row>
    <row r="177" spans="1:21" s="211" customFormat="1" ht="6.75" customHeight="1" x14ac:dyDescent="0.35">
      <c r="A177" s="901"/>
      <c r="B177" s="2192"/>
      <c r="C177" s="2192"/>
      <c r="D177" s="2192"/>
      <c r="E177" s="2192"/>
      <c r="F177" s="2192"/>
      <c r="G177" s="2192"/>
      <c r="H177" s="2192"/>
      <c r="I177" s="2192"/>
      <c r="J177" s="900"/>
      <c r="K177" s="10"/>
    </row>
    <row r="178" spans="1:21" s="211" customFormat="1" x14ac:dyDescent="0.35">
      <c r="A178" s="901"/>
      <c r="B178" s="904"/>
      <c r="C178" s="944"/>
      <c r="D178" s="945"/>
      <c r="E178" s="946"/>
      <c r="F178" s="947"/>
      <c r="G178" s="947"/>
      <c r="H178" s="947"/>
      <c r="I178" s="948"/>
      <c r="J178" s="900"/>
      <c r="K178" s="10"/>
    </row>
    <row r="179" spans="1:21" x14ac:dyDescent="0.35">
      <c r="A179" s="2508" t="str">
        <f>"Tagihan TP/TGR "&amp;TEXT($E$195,"Rp#.##0")</f>
        <v>Tagihan TP/TGR Rp0</v>
      </c>
      <c r="B179" s="911" t="s">
        <v>2240</v>
      </c>
      <c r="C179" s="720"/>
      <c r="D179" s="720"/>
      <c r="E179" s="720"/>
      <c r="F179" s="720"/>
      <c r="G179" s="720"/>
      <c r="H179" s="720"/>
      <c r="I179" s="720"/>
      <c r="J179" s="809"/>
      <c r="K179" s="267"/>
      <c r="L179" s="266"/>
      <c r="M179" s="266"/>
      <c r="N179" s="266"/>
      <c r="O179" s="266"/>
      <c r="P179" s="266"/>
      <c r="Q179" s="266"/>
      <c r="R179" s="266"/>
      <c r="S179" s="266"/>
      <c r="T179" s="266"/>
      <c r="U179" s="266"/>
    </row>
    <row r="180" spans="1:21" ht="15.75" customHeight="1" x14ac:dyDescent="0.35">
      <c r="A180" s="2508"/>
      <c r="B180" s="2192" t="str">
        <f>"Nilai Tagihan Tuntutan Perbendaharaan/Tuntutan Ganti Rugi (TP/TGR)  per "&amp;Input!Q24&amp;" dan "&amp;Input!$T$25&amp;" adalah masing-masing sebesar "&amp;TEXT(Input!$I$691,"Rp#.##0")&amp;" dan "&amp;TEXT(Input!$K$691,"Rp#.##0")&amp;"."</f>
        <v>Nilai Tagihan Tuntutan Perbendaharaan/Tuntutan Ganti Rugi (TP/TGR)  per 31 Desember 2019 dan 31 Desember 2018 adalah masing-masing sebesar Rp0 dan Rp0.</v>
      </c>
      <c r="C180" s="2192"/>
      <c r="D180" s="2192"/>
      <c r="E180" s="2192"/>
      <c r="F180" s="2192"/>
      <c r="G180" s="2192"/>
      <c r="H180" s="2192"/>
      <c r="I180" s="2192"/>
      <c r="J180" s="905"/>
      <c r="K180" s="1136"/>
      <c r="L180" s="1136"/>
      <c r="M180" s="1136"/>
      <c r="N180" s="1136"/>
      <c r="O180" s="1136"/>
      <c r="P180" s="1136"/>
      <c r="Q180" s="1136"/>
      <c r="R180" s="1136"/>
      <c r="S180" s="1136"/>
      <c r="T180" s="1136"/>
      <c r="U180" s="1136"/>
    </row>
    <row r="181" spans="1:21" s="468" customFormat="1" x14ac:dyDescent="0.35">
      <c r="A181" s="912"/>
      <c r="B181" s="2118"/>
      <c r="C181" s="2118"/>
      <c r="D181" s="2118"/>
      <c r="E181" s="2118"/>
      <c r="F181" s="2118"/>
      <c r="G181" s="2118"/>
      <c r="H181" s="2118"/>
      <c r="I181" s="2118"/>
      <c r="J181" s="905"/>
      <c r="K181" s="1136"/>
      <c r="L181" s="1136"/>
      <c r="M181" s="1136"/>
      <c r="N181" s="1136"/>
      <c r="O181" s="1136"/>
      <c r="P181" s="1136"/>
      <c r="Q181" s="1136"/>
      <c r="R181" s="1136"/>
      <c r="S181" s="1136"/>
      <c r="T181" s="1136"/>
      <c r="U181" s="1136"/>
    </row>
    <row r="182" spans="1:21" s="426" customFormat="1" x14ac:dyDescent="0.35">
      <c r="A182" s="912"/>
      <c r="B182" s="2192" t="s">
        <v>1764</v>
      </c>
      <c r="C182" s="2192"/>
      <c r="D182" s="2192"/>
      <c r="E182" s="2192"/>
      <c r="F182" s="2192"/>
      <c r="G182" s="2192"/>
      <c r="H182" s="2192"/>
      <c r="I182" s="2192"/>
      <c r="J182" s="905"/>
      <c r="K182" s="1136"/>
      <c r="L182" s="1136"/>
      <c r="M182" s="1136"/>
      <c r="N182" s="1136"/>
      <c r="O182" s="1136"/>
      <c r="P182" s="1136"/>
      <c r="Q182" s="1136"/>
      <c r="R182" s="1136"/>
      <c r="S182" s="1136"/>
      <c r="T182" s="1136"/>
      <c r="U182" s="1136"/>
    </row>
    <row r="183" spans="1:21" s="468" customFormat="1" x14ac:dyDescent="0.35">
      <c r="A183" s="912"/>
      <c r="B183" s="2192"/>
      <c r="C183" s="2192"/>
      <c r="D183" s="2192"/>
      <c r="E183" s="2192"/>
      <c r="F183" s="2192"/>
      <c r="G183" s="2192"/>
      <c r="H183" s="2192"/>
      <c r="I183" s="2192"/>
      <c r="J183" s="905"/>
      <c r="K183" s="1136"/>
      <c r="L183" s="1136"/>
      <c r="M183" s="1136"/>
      <c r="N183" s="1136"/>
      <c r="O183" s="1136"/>
      <c r="P183" s="1136"/>
      <c r="Q183" s="1136"/>
      <c r="R183" s="1136"/>
      <c r="S183" s="1136"/>
      <c r="T183" s="1136"/>
      <c r="U183" s="1136"/>
    </row>
    <row r="184" spans="1:21" s="468" customFormat="1" x14ac:dyDescent="0.35">
      <c r="A184" s="912"/>
      <c r="B184" s="2192"/>
      <c r="C184" s="2192"/>
      <c r="D184" s="2192"/>
      <c r="E184" s="2192"/>
      <c r="F184" s="2192"/>
      <c r="G184" s="2192"/>
      <c r="H184" s="2192"/>
      <c r="I184" s="2192"/>
      <c r="J184" s="905"/>
      <c r="K184" s="1136"/>
      <c r="L184" s="1136"/>
      <c r="M184" s="1136"/>
      <c r="N184" s="1136"/>
      <c r="O184" s="1136"/>
      <c r="P184" s="1136"/>
      <c r="Q184" s="1136"/>
      <c r="R184" s="1136"/>
      <c r="S184" s="1136"/>
      <c r="T184" s="1136"/>
      <c r="U184" s="1136"/>
    </row>
    <row r="185" spans="1:21" s="468" customFormat="1" x14ac:dyDescent="0.35">
      <c r="A185" s="912"/>
      <c r="B185" s="2118"/>
      <c r="C185" s="2118"/>
      <c r="D185" s="2118"/>
      <c r="E185" s="2118"/>
      <c r="F185" s="2118"/>
      <c r="G185" s="2118"/>
      <c r="H185" s="2118"/>
      <c r="I185" s="2118"/>
      <c r="J185" s="905"/>
      <c r="K185" s="1136"/>
      <c r="L185" s="1136"/>
      <c r="M185" s="1136"/>
      <c r="N185" s="1136"/>
      <c r="O185" s="1136"/>
      <c r="P185" s="1136"/>
      <c r="Q185" s="1136"/>
      <c r="R185" s="1136"/>
      <c r="S185" s="1136"/>
      <c r="T185" s="1136"/>
      <c r="U185" s="1136"/>
    </row>
    <row r="186" spans="1:21" s="426" customFormat="1" x14ac:dyDescent="0.35">
      <c r="A186" s="912"/>
      <c r="B186" s="2192" t="str">
        <f>"RincianTagihan Tuntutan Perbendaharaan/Tuntutan Ganti Rugi (TP/TGR) per "&amp;Input!Q24&amp;"  adalah sebagai berikut:"</f>
        <v>RincianTagihan Tuntutan Perbendaharaan/Tuntutan Ganti Rugi (TP/TGR) per 31 Desember 2019  adalah sebagai berikut:</v>
      </c>
      <c r="C186" s="2192"/>
      <c r="D186" s="2192"/>
      <c r="E186" s="2192"/>
      <c r="F186" s="2192"/>
      <c r="G186" s="2192"/>
      <c r="H186" s="2192"/>
      <c r="I186" s="2192"/>
      <c r="J186" s="905"/>
      <c r="K186" s="1136"/>
      <c r="L186" s="1136"/>
      <c r="M186" s="1136"/>
      <c r="N186" s="1136"/>
      <c r="O186" s="1136"/>
      <c r="P186" s="1136"/>
      <c r="Q186" s="1136"/>
      <c r="R186" s="1136"/>
      <c r="S186" s="1136"/>
      <c r="T186" s="1136"/>
      <c r="U186" s="1136"/>
    </row>
    <row r="187" spans="1:21" s="468" customFormat="1" x14ac:dyDescent="0.35">
      <c r="A187" s="912"/>
      <c r="B187" s="2118"/>
      <c r="C187" s="2118"/>
      <c r="D187" s="2118"/>
      <c r="E187" s="2118"/>
      <c r="F187" s="2118"/>
      <c r="G187" s="2118"/>
      <c r="H187" s="2118"/>
      <c r="I187" s="2118"/>
      <c r="J187" s="905"/>
      <c r="K187" s="1136"/>
      <c r="L187" s="1136"/>
      <c r="M187" s="1136"/>
      <c r="N187" s="1136"/>
      <c r="O187" s="1136"/>
      <c r="P187" s="1136"/>
      <c r="Q187" s="1136"/>
      <c r="R187" s="1136"/>
      <c r="S187" s="1136"/>
      <c r="T187" s="1136"/>
      <c r="U187" s="1136"/>
    </row>
    <row r="188" spans="1:21" s="266" customFormat="1" ht="15" customHeight="1" x14ac:dyDescent="0.35">
      <c r="A188" s="912"/>
      <c r="B188" s="751"/>
      <c r="C188" s="751"/>
      <c r="D188" s="751"/>
      <c r="E188" s="751"/>
      <c r="F188" s="751"/>
      <c r="G188" s="751"/>
      <c r="H188" s="751"/>
      <c r="I188" s="751"/>
      <c r="J188" s="905"/>
      <c r="K188" s="1136"/>
      <c r="L188" s="1136"/>
      <c r="M188" s="1136"/>
      <c r="N188" s="1136"/>
      <c r="O188" s="1136"/>
      <c r="P188" s="1136"/>
      <c r="Q188" s="1136"/>
      <c r="R188" s="1136"/>
      <c r="S188" s="1136"/>
      <c r="T188" s="1136"/>
      <c r="U188" s="1136"/>
    </row>
    <row r="189" spans="1:21" ht="39.75" customHeight="1" x14ac:dyDescent="0.35">
      <c r="A189" s="901"/>
      <c r="B189" s="2302" t="str">
        <f>"Rincian Tagihan Tuntutan Perbendaharaan TP/TGR/ Tuntutan Ganti Rugi (TP/TGR) "&amp;Input!$M$24&amp;" dan "&amp;Input!$T$25&amp;""</f>
        <v>Rincian Tagihan Tuntutan Perbendaharaan TP/TGR/ Tuntutan Ganti Rugi (TP/TGR) 31 Desember 2019 dan 31 Desember 2018</v>
      </c>
      <c r="C189" s="2302"/>
      <c r="D189" s="2302"/>
      <c r="E189" s="2302"/>
      <c r="F189" s="2302"/>
      <c r="G189" s="2302"/>
      <c r="H189" s="2302"/>
      <c r="I189" s="904"/>
      <c r="J189" s="900"/>
    </row>
    <row r="190" spans="1:21" ht="15.75" customHeight="1" x14ac:dyDescent="0.35">
      <c r="A190" s="901"/>
      <c r="B190" s="981" t="s">
        <v>133</v>
      </c>
      <c r="C190" s="2510" t="s">
        <v>135</v>
      </c>
      <c r="D190" s="2511"/>
      <c r="E190" s="934" t="str">
        <f>Input!$M$24</f>
        <v>31 Desember 2019</v>
      </c>
      <c r="F190" s="2540" t="str">
        <f>Input!$T$25</f>
        <v>31 Desember 2018</v>
      </c>
      <c r="G190" s="2541"/>
      <c r="H190" s="2542"/>
      <c r="I190" s="904"/>
      <c r="J190" s="900"/>
    </row>
    <row r="191" spans="1:21" ht="15.75" customHeight="1" x14ac:dyDescent="0.35">
      <c r="A191" s="901"/>
      <c r="B191" s="931">
        <v>1</v>
      </c>
      <c r="C191" s="2515"/>
      <c r="D191" s="2516"/>
      <c r="E191" s="982"/>
      <c r="F191" s="2517"/>
      <c r="G191" s="2518"/>
      <c r="H191" s="2519"/>
      <c r="I191" s="904"/>
      <c r="J191" s="900"/>
    </row>
    <row r="192" spans="1:21" ht="15.75" customHeight="1" x14ac:dyDescent="0.35">
      <c r="A192" s="901"/>
      <c r="B192" s="931">
        <v>2</v>
      </c>
      <c r="C192" s="2515"/>
      <c r="D192" s="2516"/>
      <c r="E192" s="982">
        <v>0</v>
      </c>
      <c r="F192" s="2517">
        <v>0</v>
      </c>
      <c r="G192" s="2518">
        <v>0</v>
      </c>
      <c r="H192" s="2519">
        <v>0</v>
      </c>
      <c r="I192" s="904"/>
      <c r="J192" s="900"/>
    </row>
    <row r="193" spans="1:11" ht="15.75" customHeight="1" x14ac:dyDescent="0.35">
      <c r="A193" s="901"/>
      <c r="B193" s="931">
        <v>3</v>
      </c>
      <c r="C193" s="2515"/>
      <c r="D193" s="2516"/>
      <c r="E193" s="982">
        <v>0</v>
      </c>
      <c r="F193" s="2517">
        <v>0</v>
      </c>
      <c r="G193" s="2518">
        <v>0</v>
      </c>
      <c r="H193" s="2519">
        <v>0</v>
      </c>
      <c r="I193" s="904"/>
      <c r="J193" s="900"/>
    </row>
    <row r="194" spans="1:11" ht="15.75" customHeight="1" x14ac:dyDescent="0.35">
      <c r="A194" s="901"/>
      <c r="B194" s="931">
        <v>4</v>
      </c>
      <c r="C194" s="2515"/>
      <c r="D194" s="2516"/>
      <c r="E194" s="982">
        <v>0</v>
      </c>
      <c r="F194" s="2517">
        <v>0</v>
      </c>
      <c r="G194" s="2518">
        <v>0</v>
      </c>
      <c r="H194" s="2519">
        <v>0</v>
      </c>
      <c r="I194" s="904"/>
      <c r="J194" s="900"/>
    </row>
    <row r="195" spans="1:11" ht="15.75" customHeight="1" x14ac:dyDescent="0.35">
      <c r="A195" s="901"/>
      <c r="B195" s="2586" t="s">
        <v>116</v>
      </c>
      <c r="C195" s="2643"/>
      <c r="D195" s="2587"/>
      <c r="E195" s="1104">
        <f>SUM(E191:E194)</f>
        <v>0</v>
      </c>
      <c r="F195" s="2520">
        <f>SUM(F191:H194)</f>
        <v>0</v>
      </c>
      <c r="G195" s="2520"/>
      <c r="H195" s="2520"/>
      <c r="I195" s="904"/>
      <c r="J195" s="900"/>
    </row>
    <row r="196" spans="1:11" x14ac:dyDescent="0.35">
      <c r="A196" s="901"/>
      <c r="B196" s="904"/>
      <c r="C196" s="904"/>
      <c r="D196" s="904"/>
      <c r="E196" s="904"/>
      <c r="F196" s="904"/>
      <c r="G196" s="904"/>
      <c r="H196" s="904"/>
      <c r="I196" s="904"/>
      <c r="J196" s="900"/>
    </row>
    <row r="197" spans="1:11" x14ac:dyDescent="0.35">
      <c r="A197" s="2508" t="str">
        <f>"Tagihan Penjualan Angsuran  "&amp;TEXT(Input!$I$692,"Rp#.##0")</f>
        <v>Tagihan Penjualan Angsuran  Rp0</v>
      </c>
      <c r="B197" s="911" t="s">
        <v>2241</v>
      </c>
      <c r="C197" s="738"/>
      <c r="D197" s="904"/>
      <c r="E197" s="904"/>
      <c r="F197" s="904"/>
      <c r="G197" s="904"/>
      <c r="H197" s="904"/>
      <c r="I197" s="904"/>
      <c r="J197" s="900"/>
    </row>
    <row r="198" spans="1:11" ht="15.75" customHeight="1" x14ac:dyDescent="0.35">
      <c r="A198" s="2508"/>
      <c r="B198" s="2502" t="str">
        <f>"Saldo Tagihan Penjualan Angsuran (TPA) per "&amp;Input!Q24&amp;" dan  "&amp;Input!$T$25&amp;" masing-masing adalah sebesar "&amp;TEXT(Input!$I$692,"Rp#.##0")&amp;" dan "&amp;TEXT(Input!$K$692,"Rp#.##0")&amp;".   Tagihan Penjualan Angsuran adalah tagihan kepada pegawai bukan bendahara atas transaksi jual/beli aset tetap instansi. Rincian Tagihan PA untuk masing-masing debitur adalah sebagai berikut:"</f>
        <v>Saldo Tagihan Penjualan Angsuran (TPA) per 31 Desember 2019 dan  31 Desember 2018 masing-masing adalah sebesar Rp0 dan Rp0.   Tagihan Penjualan Angsuran adalah tagihan kepada pegawai bukan bendahara atas transaksi jual/beli aset tetap instansi. Rincian Tagihan PA untuk masing-masing debitur adalah sebagai berikut:</v>
      </c>
      <c r="C198" s="2502"/>
      <c r="D198" s="2502"/>
      <c r="E198" s="2502"/>
      <c r="F198" s="2502"/>
      <c r="G198" s="2502"/>
      <c r="H198" s="2502"/>
      <c r="I198" s="2502"/>
      <c r="J198" s="905"/>
    </row>
    <row r="199" spans="1:11" s="468" customFormat="1" x14ac:dyDescent="0.35">
      <c r="A199" s="2362"/>
      <c r="B199" s="2502"/>
      <c r="C199" s="2502"/>
      <c r="D199" s="2502"/>
      <c r="E199" s="2502"/>
      <c r="F199" s="2502"/>
      <c r="G199" s="2502"/>
      <c r="H199" s="2502"/>
      <c r="I199" s="2502"/>
      <c r="J199" s="905"/>
      <c r="K199" s="544"/>
    </row>
    <row r="200" spans="1:11" s="468" customFormat="1" ht="38.25" customHeight="1" x14ac:dyDescent="0.35">
      <c r="A200" s="912"/>
      <c r="B200" s="2502"/>
      <c r="C200" s="2502"/>
      <c r="D200" s="2502"/>
      <c r="E200" s="2502"/>
      <c r="F200" s="2502"/>
      <c r="G200" s="2502"/>
      <c r="H200" s="2502"/>
      <c r="I200" s="2502"/>
      <c r="J200" s="905"/>
      <c r="K200" s="544"/>
    </row>
    <row r="201" spans="1:11" s="468" customFormat="1" ht="15" customHeight="1" x14ac:dyDescent="0.35">
      <c r="A201" s="912"/>
      <c r="B201" s="2302" t="str">
        <f>"Rincian Tagihan TPA "&amp;Input!$M$24&amp;" dan "&amp;Input!$T$25&amp;""</f>
        <v>Rincian Tagihan TPA 31 Desember 2019 dan 31 Desember 2018</v>
      </c>
      <c r="C201" s="2302"/>
      <c r="D201" s="2302"/>
      <c r="E201" s="2302"/>
      <c r="F201" s="2302"/>
      <c r="G201" s="2302"/>
      <c r="H201" s="2302"/>
      <c r="I201" s="1333"/>
      <c r="J201" s="905"/>
      <c r="K201" s="544"/>
    </row>
    <row r="202" spans="1:11" ht="15.75" customHeight="1" x14ac:dyDescent="0.35">
      <c r="A202" s="901"/>
      <c r="B202" s="981" t="s">
        <v>133</v>
      </c>
      <c r="C202" s="2510" t="s">
        <v>135</v>
      </c>
      <c r="D202" s="2511"/>
      <c r="E202" s="934" t="str">
        <f>Input!$M$24</f>
        <v>31 Desember 2019</v>
      </c>
      <c r="F202" s="2540" t="str">
        <f>Input!$T$25</f>
        <v>31 Desember 2018</v>
      </c>
      <c r="G202" s="2541"/>
      <c r="H202" s="2542"/>
      <c r="I202" s="904"/>
      <c r="J202" s="900"/>
    </row>
    <row r="203" spans="1:11" ht="15.75" customHeight="1" x14ac:dyDescent="0.35">
      <c r="A203" s="901"/>
      <c r="B203" s="931">
        <v>1</v>
      </c>
      <c r="C203" s="2515"/>
      <c r="D203" s="2516"/>
      <c r="E203" s="1021"/>
      <c r="F203" s="2661"/>
      <c r="G203" s="2662"/>
      <c r="H203" s="2663"/>
      <c r="I203" s="904"/>
      <c r="J203" s="900"/>
    </row>
    <row r="204" spans="1:11" ht="15.75" customHeight="1" x14ac:dyDescent="0.35">
      <c r="A204" s="901"/>
      <c r="B204" s="931">
        <v>2</v>
      </c>
      <c r="C204" s="2515"/>
      <c r="D204" s="2516"/>
      <c r="E204" s="1021">
        <v>0</v>
      </c>
      <c r="F204" s="2661">
        <v>0</v>
      </c>
      <c r="G204" s="2662">
        <v>0</v>
      </c>
      <c r="H204" s="2663">
        <v>0</v>
      </c>
      <c r="I204" s="904"/>
      <c r="J204" s="900"/>
    </row>
    <row r="205" spans="1:11" s="468" customFormat="1" ht="15.75" customHeight="1" x14ac:dyDescent="0.35">
      <c r="A205" s="901"/>
      <c r="B205" s="931"/>
      <c r="C205" s="2515"/>
      <c r="D205" s="2516"/>
      <c r="E205" s="1021">
        <v>0</v>
      </c>
      <c r="F205" s="2661">
        <v>0</v>
      </c>
      <c r="G205" s="2662">
        <v>0</v>
      </c>
      <c r="H205" s="2663">
        <v>0</v>
      </c>
      <c r="I205" s="904"/>
      <c r="J205" s="900"/>
      <c r="K205" s="544"/>
    </row>
    <row r="206" spans="1:11" ht="15.75" customHeight="1" x14ac:dyDescent="0.35">
      <c r="A206" s="901"/>
      <c r="B206" s="2523" t="s">
        <v>116</v>
      </c>
      <c r="C206" s="2524"/>
      <c r="D206" s="2525"/>
      <c r="E206" s="1103">
        <f>SUM(E203:E204)</f>
        <v>0</v>
      </c>
      <c r="F206" s="2526">
        <f>SUM(F203:H204)</f>
        <v>0</v>
      </c>
      <c r="G206" s="2526"/>
      <c r="H206" s="2526"/>
      <c r="I206" s="904"/>
      <c r="J206" s="900"/>
    </row>
    <row r="207" spans="1:11" ht="15.75" customHeight="1" x14ac:dyDescent="0.35">
      <c r="A207" s="901"/>
      <c r="B207" s="949"/>
      <c r="C207" s="950"/>
      <c r="D207" s="951"/>
      <c r="E207" s="951"/>
      <c r="F207" s="904"/>
      <c r="G207" s="904"/>
      <c r="H207" s="904"/>
      <c r="I207" s="904"/>
      <c r="J207" s="900"/>
    </row>
    <row r="208" spans="1:11" s="468" customFormat="1" ht="100.5" customHeight="1" x14ac:dyDescent="0.35">
      <c r="A208" s="901"/>
      <c r="B208" s="949"/>
      <c r="C208" s="950"/>
      <c r="D208" s="951"/>
      <c r="E208" s="951"/>
      <c r="F208" s="904"/>
      <c r="G208" s="904"/>
      <c r="H208" s="904"/>
      <c r="I208" s="904"/>
      <c r="J208" s="900"/>
      <c r="K208" s="544"/>
    </row>
    <row r="209" spans="1:11" s="426" customFormat="1" ht="15.75" customHeight="1" x14ac:dyDescent="0.35">
      <c r="A209" s="2508" t="str">
        <f>"Penyisihan Piutang Tak Tertagih - Piutang Jangka Panjang  "&amp;TEXT(Input!$I$693,"Rp#.##0")</f>
        <v>Penyisihan Piutang Tak Tertagih - Piutang Jangka Panjang  Rp0</v>
      </c>
      <c r="B209" s="911" t="s">
        <v>2242</v>
      </c>
      <c r="C209" s="738"/>
      <c r="D209" s="904"/>
      <c r="E209" s="904"/>
      <c r="F209" s="904"/>
      <c r="G209" s="904"/>
      <c r="H209" s="904"/>
      <c r="I209" s="904"/>
      <c r="J209" s="900"/>
      <c r="K209" s="425"/>
    </row>
    <row r="210" spans="1:11" s="426" customFormat="1" x14ac:dyDescent="0.35">
      <c r="A210" s="2508"/>
      <c r="B210" s="2192" t="str">
        <f>"Saldo Penyisihan Piutang Tak Tertagih-Piutang Jangka Panjang per "&amp;Input!Q24&amp;" dan  "&amp;Input!$T$25&amp;" masing-masing adalah sebesar "&amp;TEXT(Input!$I$693,"Rp#.##0")&amp;" dan "&amp;TEXT(Input!$K$693,"Rp#.##0")&amp;"."</f>
        <v>Saldo Penyisihan Piutang Tak Tertagih-Piutang Jangka Panjang per 31 Desember 2019 dan  31 Desember 2018 masing-masing adalah sebesar Rp0 dan Rp0.</v>
      </c>
      <c r="C210" s="2192"/>
      <c r="D210" s="2192"/>
      <c r="E210" s="2192"/>
      <c r="F210" s="2192"/>
      <c r="G210" s="2192"/>
      <c r="H210" s="2192"/>
      <c r="I210" s="2192"/>
      <c r="J210" s="900"/>
      <c r="K210" s="425"/>
    </row>
    <row r="211" spans="1:11" s="468" customFormat="1" x14ac:dyDescent="0.35">
      <c r="A211" s="2508"/>
      <c r="B211" s="2192"/>
      <c r="C211" s="2192"/>
      <c r="D211" s="2192"/>
      <c r="E211" s="2192"/>
      <c r="F211" s="2192"/>
      <c r="G211" s="2192"/>
      <c r="H211" s="2192"/>
      <c r="I211" s="2192"/>
      <c r="J211" s="900"/>
      <c r="K211" s="544"/>
    </row>
    <row r="212" spans="1:11" s="426" customFormat="1" x14ac:dyDescent="0.35">
      <c r="A212" s="2508"/>
      <c r="B212" s="2192" t="s">
        <v>2155</v>
      </c>
      <c r="C212" s="2192"/>
      <c r="D212" s="2192"/>
      <c r="E212" s="2192"/>
      <c r="F212" s="2192"/>
      <c r="G212" s="2192"/>
      <c r="H212" s="2192"/>
      <c r="I212" s="2192"/>
      <c r="J212" s="900"/>
      <c r="K212" s="425"/>
    </row>
    <row r="213" spans="1:11" s="468" customFormat="1" ht="45.75" customHeight="1" x14ac:dyDescent="0.35">
      <c r="A213" s="901"/>
      <c r="B213" s="2118"/>
      <c r="C213" s="2118"/>
      <c r="D213" s="2118"/>
      <c r="E213" s="2118"/>
      <c r="F213" s="2118"/>
      <c r="G213" s="2118"/>
      <c r="H213" s="2118"/>
      <c r="I213" s="2118"/>
      <c r="J213" s="900"/>
      <c r="K213" s="544"/>
    </row>
    <row r="214" spans="1:11" s="426" customFormat="1" ht="6.75" customHeight="1" x14ac:dyDescent="0.35">
      <c r="A214" s="901"/>
      <c r="B214" s="904"/>
      <c r="C214" s="904"/>
      <c r="D214" s="904"/>
      <c r="E214" s="904"/>
      <c r="F214" s="904"/>
      <c r="G214" s="904"/>
      <c r="H214" s="904"/>
      <c r="I214" s="904"/>
      <c r="J214" s="900"/>
      <c r="K214" s="425"/>
    </row>
    <row r="215" spans="1:11" s="426" customFormat="1" ht="15.75" customHeight="1" x14ac:dyDescent="0.35">
      <c r="A215" s="901"/>
      <c r="B215" s="2579" t="s">
        <v>2342</v>
      </c>
      <c r="C215" s="2579"/>
      <c r="D215" s="2579"/>
      <c r="E215" s="2579"/>
      <c r="F215" s="2579"/>
      <c r="G215" s="2579"/>
      <c r="H215" s="2579"/>
      <c r="I215" s="904"/>
      <c r="J215" s="900"/>
      <c r="K215" s="425"/>
    </row>
    <row r="216" spans="1:11" s="426" customFormat="1" ht="15.75" customHeight="1" x14ac:dyDescent="0.35">
      <c r="A216" s="901"/>
      <c r="B216" s="857"/>
      <c r="C216" s="865"/>
      <c r="D216" s="865"/>
      <c r="E216" s="952"/>
      <c r="F216" s="953"/>
      <c r="G216" s="953"/>
      <c r="H216" s="953"/>
      <c r="I216" s="904"/>
      <c r="J216" s="900"/>
      <c r="K216" s="425"/>
    </row>
    <row r="217" spans="1:11" s="426" customFormat="1" ht="33.75" customHeight="1" x14ac:dyDescent="0.35">
      <c r="A217" s="901"/>
      <c r="B217" s="954"/>
      <c r="C217" s="955" t="s">
        <v>101</v>
      </c>
      <c r="D217" s="955" t="s">
        <v>1769</v>
      </c>
      <c r="E217" s="956" t="s">
        <v>1760</v>
      </c>
      <c r="F217" s="2640" t="s">
        <v>138</v>
      </c>
      <c r="G217" s="2641"/>
      <c r="H217" s="2642"/>
      <c r="I217" s="904"/>
      <c r="J217" s="900"/>
      <c r="K217" s="425"/>
    </row>
    <row r="218" spans="1:11" s="426" customFormat="1" ht="15.75" customHeight="1" x14ac:dyDescent="0.35">
      <c r="A218" s="901"/>
      <c r="B218" s="954"/>
      <c r="C218" s="935" t="s">
        <v>1739</v>
      </c>
      <c r="D218" s="993"/>
      <c r="E218" s="993"/>
      <c r="F218" s="2741"/>
      <c r="G218" s="2741"/>
      <c r="H218" s="2741"/>
      <c r="I218" s="904"/>
      <c r="J218" s="900"/>
      <c r="K218" s="425"/>
    </row>
    <row r="219" spans="1:11" s="426" customFormat="1" ht="15.75" customHeight="1" x14ac:dyDescent="0.35">
      <c r="A219" s="901"/>
      <c r="B219" s="954"/>
      <c r="C219" s="937" t="s">
        <v>103</v>
      </c>
      <c r="D219" s="1114"/>
      <c r="E219" s="1099">
        <v>5.0000000000000001E-3</v>
      </c>
      <c r="F219" s="2612">
        <f>D219*E219</f>
        <v>0</v>
      </c>
      <c r="G219" s="2612"/>
      <c r="H219" s="2612"/>
      <c r="I219" s="904"/>
      <c r="J219" s="900"/>
      <c r="K219" s="425"/>
    </row>
    <row r="220" spans="1:11" s="426" customFormat="1" ht="15.75" customHeight="1" x14ac:dyDescent="0.35">
      <c r="A220" s="901"/>
      <c r="B220" s="954"/>
      <c r="C220" s="937" t="s">
        <v>105</v>
      </c>
      <c r="D220" s="1114"/>
      <c r="E220" s="1100">
        <v>0.1</v>
      </c>
      <c r="F220" s="2612">
        <f>D220*E220</f>
        <v>0</v>
      </c>
      <c r="G220" s="2612"/>
      <c r="H220" s="2612"/>
      <c r="I220" s="904"/>
      <c r="J220" s="900"/>
      <c r="K220" s="425"/>
    </row>
    <row r="221" spans="1:11" s="426" customFormat="1" ht="15.75" customHeight="1" x14ac:dyDescent="0.35">
      <c r="A221" s="901"/>
      <c r="B221" s="954"/>
      <c r="C221" s="937" t="s">
        <v>107</v>
      </c>
      <c r="D221" s="1114"/>
      <c r="E221" s="1100">
        <v>0.5</v>
      </c>
      <c r="F221" s="2612">
        <f>D221*E221</f>
        <v>0</v>
      </c>
      <c r="G221" s="2612"/>
      <c r="H221" s="2612"/>
      <c r="I221" s="904"/>
      <c r="J221" s="900"/>
      <c r="K221" s="425"/>
    </row>
    <row r="222" spans="1:11" s="426" customFormat="1" ht="15.75" customHeight="1" x14ac:dyDescent="0.35">
      <c r="A222" s="901"/>
      <c r="B222" s="954"/>
      <c r="C222" s="937" t="s">
        <v>109</v>
      </c>
      <c r="D222" s="1114"/>
      <c r="E222" s="1100">
        <v>1</v>
      </c>
      <c r="F222" s="2612">
        <f>D222*E222</f>
        <v>0</v>
      </c>
      <c r="G222" s="2612"/>
      <c r="H222" s="2612"/>
      <c r="I222" s="904"/>
      <c r="J222" s="900"/>
      <c r="K222" s="425"/>
    </row>
    <row r="223" spans="1:11" s="426" customFormat="1" ht="15.75" customHeight="1" x14ac:dyDescent="0.35">
      <c r="A223" s="901"/>
      <c r="B223" s="954"/>
      <c r="C223" s="935" t="s">
        <v>116</v>
      </c>
      <c r="D223" s="993">
        <f>SUM(D219:D222)</f>
        <v>0</v>
      </c>
      <c r="E223" s="993"/>
      <c r="F223" s="2741">
        <f>SUM(F219:H222)</f>
        <v>0</v>
      </c>
      <c r="G223" s="2741"/>
      <c r="H223" s="2741"/>
      <c r="I223" s="904"/>
      <c r="J223" s="900"/>
      <c r="K223" s="425"/>
    </row>
    <row r="224" spans="1:11" s="426" customFormat="1" ht="15.75" customHeight="1" x14ac:dyDescent="0.35">
      <c r="A224" s="901"/>
      <c r="B224" s="954"/>
      <c r="C224" s="935" t="s">
        <v>1768</v>
      </c>
      <c r="D224" s="993"/>
      <c r="E224" s="993"/>
      <c r="F224" s="2741"/>
      <c r="G224" s="2741"/>
      <c r="H224" s="2741"/>
      <c r="I224" s="904"/>
      <c r="J224" s="900"/>
      <c r="K224" s="425"/>
    </row>
    <row r="225" spans="1:23" s="426" customFormat="1" ht="15.75" customHeight="1" x14ac:dyDescent="0.35">
      <c r="A225" s="901"/>
      <c r="B225" s="954"/>
      <c r="C225" s="937" t="s">
        <v>103</v>
      </c>
      <c r="D225" s="1114"/>
      <c r="E225" s="1099">
        <v>5.0000000000000001E-3</v>
      </c>
      <c r="F225" s="2612">
        <f>D225*E225</f>
        <v>0</v>
      </c>
      <c r="G225" s="2612"/>
      <c r="H225" s="2612"/>
      <c r="I225" s="904"/>
      <c r="J225" s="900"/>
      <c r="K225" s="425"/>
    </row>
    <row r="226" spans="1:23" s="426" customFormat="1" ht="15.75" customHeight="1" x14ac:dyDescent="0.35">
      <c r="A226" s="901"/>
      <c r="B226" s="954"/>
      <c r="C226" s="937" t="s">
        <v>105</v>
      </c>
      <c r="D226" s="1114"/>
      <c r="E226" s="1100">
        <v>0.1</v>
      </c>
      <c r="F226" s="2612">
        <f>D226*E226</f>
        <v>0</v>
      </c>
      <c r="G226" s="2612"/>
      <c r="H226" s="2612"/>
      <c r="I226" s="904"/>
      <c r="J226" s="900"/>
      <c r="K226" s="425"/>
    </row>
    <row r="227" spans="1:23" s="426" customFormat="1" ht="15.75" customHeight="1" x14ac:dyDescent="0.35">
      <c r="A227" s="901"/>
      <c r="B227" s="954"/>
      <c r="C227" s="937" t="s">
        <v>107</v>
      </c>
      <c r="D227" s="1114"/>
      <c r="E227" s="1100">
        <v>0.5</v>
      </c>
      <c r="F227" s="2612">
        <f>D227*E227</f>
        <v>0</v>
      </c>
      <c r="G227" s="2612"/>
      <c r="H227" s="2612"/>
      <c r="I227" s="904"/>
      <c r="J227" s="900"/>
      <c r="K227" s="425"/>
    </row>
    <row r="228" spans="1:23" s="426" customFormat="1" ht="15.75" customHeight="1" x14ac:dyDescent="0.35">
      <c r="A228" s="901"/>
      <c r="B228" s="954"/>
      <c r="C228" s="937" t="s">
        <v>109</v>
      </c>
      <c r="D228" s="1114"/>
      <c r="E228" s="1100">
        <v>1</v>
      </c>
      <c r="F228" s="2612">
        <f>D228*E228</f>
        <v>0</v>
      </c>
      <c r="G228" s="2612"/>
      <c r="H228" s="2612"/>
      <c r="I228" s="904"/>
      <c r="J228" s="900"/>
      <c r="K228" s="425"/>
    </row>
    <row r="229" spans="1:23" s="426" customFormat="1" ht="15.75" customHeight="1" x14ac:dyDescent="0.35">
      <c r="A229" s="901"/>
      <c r="B229" s="954"/>
      <c r="C229" s="935" t="s">
        <v>116</v>
      </c>
      <c r="D229" s="993">
        <f>SUM(D225:D228)</f>
        <v>0</v>
      </c>
      <c r="E229" s="993"/>
      <c r="F229" s="2741">
        <f>SUM(F225:H228)</f>
        <v>0</v>
      </c>
      <c r="G229" s="2741"/>
      <c r="H229" s="2741"/>
      <c r="I229" s="904"/>
      <c r="J229" s="900"/>
      <c r="K229" s="425"/>
    </row>
    <row r="230" spans="1:23" s="426" customFormat="1" ht="29.25" customHeight="1" x14ac:dyDescent="0.35">
      <c r="A230" s="901"/>
      <c r="B230" s="949"/>
      <c r="C230" s="1101" t="s">
        <v>1763</v>
      </c>
      <c r="D230" s="1102">
        <f>SUM(D223+D229)</f>
        <v>0</v>
      </c>
      <c r="E230" s="1102"/>
      <c r="F230" s="2749">
        <f>SUM(F223+F229)</f>
        <v>0</v>
      </c>
      <c r="G230" s="2750"/>
      <c r="H230" s="2751"/>
      <c r="I230" s="904"/>
      <c r="J230" s="900"/>
      <c r="K230" s="425"/>
    </row>
    <row r="231" spans="1:23" s="426" customFormat="1" ht="15.75" customHeight="1" x14ac:dyDescent="0.35">
      <c r="A231" s="901"/>
      <c r="B231" s="949"/>
      <c r="C231" s="950"/>
      <c r="D231" s="951"/>
      <c r="E231" s="951"/>
      <c r="F231" s="904"/>
      <c r="G231" s="904"/>
      <c r="H231" s="904"/>
      <c r="I231" s="904"/>
      <c r="J231" s="900"/>
      <c r="K231" s="425"/>
    </row>
    <row r="232" spans="1:23" x14ac:dyDescent="0.35">
      <c r="A232" s="2744" t="str">
        <f>"Tanah "&amp;TEXT(Input!$G$641,"Rp#.##0")</f>
        <v>Tanah Rp15.750.000.000</v>
      </c>
      <c r="B232" s="994" t="s">
        <v>1990</v>
      </c>
      <c r="C232" s="995"/>
      <c r="D232" s="990"/>
      <c r="E232" s="990"/>
      <c r="F232" s="990"/>
      <c r="G232" s="990"/>
      <c r="H232" s="990"/>
      <c r="I232" s="990"/>
      <c r="J232" s="900"/>
      <c r="K232" s="2635" t="s">
        <v>1130</v>
      </c>
      <c r="L232" s="2635"/>
      <c r="M232" s="2635"/>
      <c r="N232" s="2635"/>
      <c r="O232" s="2635"/>
      <c r="P232" s="2635"/>
      <c r="Q232" s="2635"/>
      <c r="R232" s="2635"/>
      <c r="S232" s="2635"/>
      <c r="T232" s="2635"/>
      <c r="U232" s="2635"/>
      <c r="V232" s="2635"/>
      <c r="W232" s="2635"/>
    </row>
    <row r="233" spans="1:23" x14ac:dyDescent="0.35">
      <c r="A233" s="2744"/>
      <c r="B233" s="2244" t="s">
        <v>2377</v>
      </c>
      <c r="C233" s="2244"/>
      <c r="D233" s="2244"/>
      <c r="E233" s="2244"/>
      <c r="F233" s="2244"/>
      <c r="G233" s="2244"/>
      <c r="H233" s="2244"/>
      <c r="I233" s="2244"/>
      <c r="J233" s="905"/>
      <c r="K233" s="1003" t="s">
        <v>1123</v>
      </c>
      <c r="L233" s="1004" t="s">
        <v>8</v>
      </c>
      <c r="M233" s="2636" t="s">
        <v>2322</v>
      </c>
      <c r="N233" s="2636"/>
      <c r="O233" s="2636"/>
      <c r="P233" s="2636"/>
      <c r="Q233" s="2636"/>
      <c r="R233" s="2636"/>
      <c r="S233" s="2636"/>
      <c r="T233" s="2636"/>
      <c r="U233" s="2636"/>
      <c r="V233" s="2636"/>
      <c r="W233" s="2636"/>
    </row>
    <row r="234" spans="1:23" s="468" customFormat="1" x14ac:dyDescent="0.35">
      <c r="A234" s="987"/>
      <c r="B234" s="2244"/>
      <c r="C234" s="2244"/>
      <c r="D234" s="2244"/>
      <c r="E234" s="2244"/>
      <c r="F234" s="2244"/>
      <c r="G234" s="2244"/>
      <c r="H234" s="2244"/>
      <c r="I234" s="2244"/>
      <c r="J234" s="905"/>
      <c r="K234" s="1003"/>
      <c r="L234" s="1004"/>
      <c r="M234" s="1096"/>
      <c r="N234" s="1096"/>
      <c r="O234" s="1096"/>
      <c r="P234" s="1096"/>
      <c r="Q234" s="1096"/>
      <c r="R234" s="1096"/>
      <c r="S234" s="1096"/>
      <c r="T234" s="1096"/>
      <c r="U234" s="1096"/>
      <c r="V234" s="1096"/>
      <c r="W234" s="1096"/>
    </row>
    <row r="235" spans="1:23" s="468" customFormat="1" ht="30" customHeight="1" x14ac:dyDescent="0.35">
      <c r="A235" s="987"/>
      <c r="B235" s="2244"/>
      <c r="C235" s="2244"/>
      <c r="D235" s="2244"/>
      <c r="E235" s="2244"/>
      <c r="F235" s="2244"/>
      <c r="G235" s="2244"/>
      <c r="H235" s="2244"/>
      <c r="I235" s="2244"/>
      <c r="J235" s="905"/>
      <c r="K235" s="1003"/>
      <c r="L235" s="1004"/>
      <c r="M235" s="1096"/>
      <c r="N235" s="1096"/>
      <c r="O235" s="1096"/>
      <c r="P235" s="1096"/>
      <c r="Q235" s="1096"/>
      <c r="R235" s="1096"/>
      <c r="S235" s="1096"/>
      <c r="T235" s="1096"/>
      <c r="U235" s="1096"/>
      <c r="V235" s="1096"/>
      <c r="W235" s="1096"/>
    </row>
    <row r="236" spans="1:23" ht="24" customHeight="1" x14ac:dyDescent="0.35">
      <c r="A236" s="901"/>
      <c r="B236" s="2748" t="s">
        <v>2156</v>
      </c>
      <c r="C236" s="2748"/>
      <c r="D236" s="2748"/>
      <c r="E236" s="2748"/>
      <c r="F236" s="2748"/>
      <c r="G236" s="2748"/>
      <c r="H236" s="2748"/>
      <c r="I236" s="2748"/>
      <c r="J236" s="900"/>
      <c r="K236" s="2700"/>
      <c r="L236" s="2702"/>
      <c r="M236" s="2651"/>
      <c r="N236" s="2652"/>
      <c r="O236" s="2652"/>
      <c r="P236" s="2652"/>
      <c r="Q236" s="2652"/>
      <c r="R236" s="2652"/>
      <c r="S236" s="2652"/>
      <c r="T236" s="2652"/>
      <c r="U236" s="2652"/>
      <c r="V236" s="2652"/>
      <c r="W236" s="2653"/>
    </row>
    <row r="237" spans="1:23" x14ac:dyDescent="0.35">
      <c r="A237" s="901"/>
      <c r="B237" s="2745" t="s">
        <v>2404</v>
      </c>
      <c r="C237" s="2746"/>
      <c r="D237" s="2746"/>
      <c r="E237" s="2747"/>
      <c r="F237" s="2644">
        <f>Input!K680</f>
        <v>15750000000</v>
      </c>
      <c r="G237" s="2644"/>
      <c r="H237" s="2644"/>
      <c r="I237" s="2644"/>
      <c r="J237" s="900"/>
      <c r="K237" s="2700"/>
      <c r="L237" s="2702"/>
      <c r="M237" s="2651"/>
      <c r="N237" s="2652"/>
      <c r="O237" s="2652"/>
      <c r="P237" s="2652"/>
      <c r="Q237" s="2652"/>
      <c r="R237" s="2652"/>
      <c r="S237" s="2652"/>
      <c r="T237" s="2652"/>
      <c r="U237" s="2652"/>
      <c r="V237" s="2652"/>
      <c r="W237" s="2653"/>
    </row>
    <row r="238" spans="1:23" ht="15.75" customHeight="1" x14ac:dyDescent="0.35">
      <c r="A238" s="901"/>
      <c r="B238" s="2507" t="s">
        <v>1770</v>
      </c>
      <c r="C238" s="2507"/>
      <c r="D238" s="2507"/>
      <c r="E238" s="2507"/>
      <c r="F238" s="2645"/>
      <c r="G238" s="2645"/>
      <c r="H238" s="2645"/>
      <c r="I238" s="2645"/>
      <c r="J238" s="900"/>
      <c r="K238" s="2700"/>
      <c r="L238" s="2702"/>
      <c r="M238" s="2651"/>
      <c r="N238" s="2652"/>
      <c r="O238" s="2652"/>
      <c r="P238" s="2652"/>
      <c r="Q238" s="2652"/>
      <c r="R238" s="2652"/>
      <c r="S238" s="2652"/>
      <c r="T238" s="2652"/>
      <c r="U238" s="2652"/>
      <c r="V238" s="2652"/>
      <c r="W238" s="2653"/>
    </row>
    <row r="239" spans="1:23" s="468" customFormat="1" ht="15.75" customHeight="1" x14ac:dyDescent="0.35">
      <c r="A239" s="1319"/>
      <c r="B239" s="2507" t="s">
        <v>305</v>
      </c>
      <c r="C239" s="2507"/>
      <c r="D239" s="2507"/>
      <c r="E239" s="2507"/>
      <c r="F239" s="2645"/>
      <c r="G239" s="2645"/>
      <c r="H239" s="2645"/>
      <c r="I239" s="2645"/>
      <c r="J239" s="900"/>
      <c r="K239" s="2700"/>
      <c r="L239" s="2702"/>
      <c r="M239" s="2651"/>
      <c r="N239" s="2652"/>
      <c r="O239" s="2652"/>
      <c r="P239" s="2652"/>
      <c r="Q239" s="2652"/>
      <c r="R239" s="2652"/>
      <c r="S239" s="2652"/>
      <c r="T239" s="2652"/>
      <c r="U239" s="2652"/>
      <c r="V239" s="2652"/>
      <c r="W239" s="2653"/>
    </row>
    <row r="240" spans="1:23" s="468" customFormat="1" ht="15.75" customHeight="1" x14ac:dyDescent="0.35">
      <c r="A240" s="1319"/>
      <c r="B240" s="2507" t="s">
        <v>284</v>
      </c>
      <c r="C240" s="2507"/>
      <c r="D240" s="2507"/>
      <c r="E240" s="2507"/>
      <c r="F240" s="2645"/>
      <c r="G240" s="2645"/>
      <c r="H240" s="2645"/>
      <c r="I240" s="2645"/>
      <c r="J240" s="900"/>
      <c r="K240" s="2700"/>
      <c r="L240" s="2702"/>
      <c r="M240" s="2651"/>
      <c r="N240" s="2652"/>
      <c r="O240" s="2652"/>
      <c r="P240" s="2652"/>
      <c r="Q240" s="2652"/>
      <c r="R240" s="2652"/>
      <c r="S240" s="2652"/>
      <c r="T240" s="2652"/>
      <c r="U240" s="2652"/>
      <c r="V240" s="2652"/>
      <c r="W240" s="2653"/>
    </row>
    <row r="241" spans="1:23" ht="15.75" customHeight="1" x14ac:dyDescent="0.35">
      <c r="A241" s="901"/>
      <c r="B241" s="2507" t="s">
        <v>2157</v>
      </c>
      <c r="C241" s="2507"/>
      <c r="D241" s="2507"/>
      <c r="E241" s="2507"/>
      <c r="F241" s="2645"/>
      <c r="G241" s="2645"/>
      <c r="H241" s="2645"/>
      <c r="I241" s="2645"/>
      <c r="J241" s="900"/>
      <c r="K241" s="2701"/>
      <c r="L241" s="2703"/>
      <c r="M241" s="2654"/>
      <c r="N241" s="2655"/>
      <c r="O241" s="2655"/>
      <c r="P241" s="2655"/>
      <c r="Q241" s="2655"/>
      <c r="R241" s="2655"/>
      <c r="S241" s="2655"/>
      <c r="T241" s="2655"/>
      <c r="U241" s="2655"/>
      <c r="V241" s="2655"/>
      <c r="W241" s="2656"/>
    </row>
    <row r="242" spans="1:23" ht="15.75" customHeight="1" x14ac:dyDescent="0.35">
      <c r="A242" s="901"/>
      <c r="B242" s="2507" t="s">
        <v>1771</v>
      </c>
      <c r="C242" s="2507"/>
      <c r="D242" s="2507"/>
      <c r="E242" s="2507"/>
      <c r="F242" s="2645"/>
      <c r="G242" s="2645"/>
      <c r="H242" s="2645"/>
      <c r="I242" s="2645"/>
      <c r="J242" s="900"/>
      <c r="K242" s="48"/>
      <c r="L242" s="48"/>
      <c r="M242" s="262"/>
      <c r="N242" s="262"/>
      <c r="O242" s="262"/>
      <c r="P242" s="262"/>
      <c r="Q242" s="262"/>
      <c r="R242" s="262"/>
      <c r="S242" s="262"/>
      <c r="T242" s="262"/>
      <c r="U242" s="262"/>
      <c r="V242" s="262"/>
      <c r="W242" s="262"/>
    </row>
    <row r="243" spans="1:23" s="468" customFormat="1" ht="15.75" customHeight="1" x14ac:dyDescent="0.35">
      <c r="A243" s="1319"/>
      <c r="B243" s="2507" t="s">
        <v>2157</v>
      </c>
      <c r="C243" s="2507"/>
      <c r="D243" s="2507"/>
      <c r="E243" s="2507"/>
      <c r="F243" s="2645">
        <v>0</v>
      </c>
      <c r="G243" s="2645"/>
      <c r="H243" s="2645"/>
      <c r="I243" s="2645"/>
      <c r="J243" s="900"/>
      <c r="K243" s="428"/>
      <c r="L243" s="428"/>
      <c r="M243" s="263"/>
      <c r="N243" s="263"/>
      <c r="O243" s="263"/>
      <c r="P243" s="263"/>
      <c r="Q243" s="263"/>
      <c r="R243" s="263"/>
      <c r="S243" s="263"/>
      <c r="T243" s="263"/>
      <c r="U243" s="263"/>
      <c r="V243" s="263"/>
      <c r="W243" s="263"/>
    </row>
    <row r="244" spans="1:23" ht="15.75" customHeight="1" x14ac:dyDescent="0.35">
      <c r="A244" s="901"/>
      <c r="B244" s="2507" t="s">
        <v>2343</v>
      </c>
      <c r="C244" s="2507"/>
      <c r="D244" s="2507"/>
      <c r="E244" s="2507"/>
      <c r="F244" s="2645"/>
      <c r="G244" s="2645"/>
      <c r="H244" s="2645"/>
      <c r="I244" s="2645"/>
      <c r="J244" s="900"/>
      <c r="K244" s="269"/>
      <c r="L244" s="49"/>
      <c r="M244" s="263"/>
      <c r="N244" s="263"/>
      <c r="O244" s="263"/>
      <c r="P244" s="263"/>
      <c r="Q244" s="263"/>
      <c r="R244" s="263"/>
      <c r="S244" s="263"/>
      <c r="T244" s="263"/>
      <c r="U244" s="263"/>
      <c r="V244" s="263"/>
      <c r="W244" s="263"/>
    </row>
    <row r="245" spans="1:23" ht="21.75" customHeight="1" x14ac:dyDescent="0.35">
      <c r="A245" s="901"/>
      <c r="B245" s="2646" t="str">
        <f>"Saldo per "&amp;Input!Q24&amp;""</f>
        <v>Saldo per 31 Desember 2019</v>
      </c>
      <c r="C245" s="2646"/>
      <c r="D245" s="2646"/>
      <c r="E245" s="2646"/>
      <c r="F245" s="2710">
        <f>F237+F243-F242</f>
        <v>15750000000</v>
      </c>
      <c r="G245" s="2710"/>
      <c r="H245" s="2710"/>
      <c r="I245" s="2710"/>
      <c r="J245" s="900"/>
      <c r="K245" s="49"/>
      <c r="L245" s="49"/>
      <c r="M245" s="461"/>
      <c r="N245" s="263"/>
      <c r="O245" s="263"/>
      <c r="P245" s="263"/>
      <c r="Q245" s="263"/>
      <c r="R245" s="263"/>
      <c r="S245" s="263"/>
      <c r="T245" s="263"/>
      <c r="U245" s="263"/>
      <c r="V245" s="263"/>
      <c r="W245" s="263"/>
    </row>
    <row r="246" spans="1:23" s="468" customFormat="1" x14ac:dyDescent="0.35">
      <c r="A246" s="939"/>
      <c r="B246" s="2704" t="s">
        <v>2344</v>
      </c>
      <c r="C246" s="2705"/>
      <c r="D246" s="2705"/>
      <c r="E246" s="2706"/>
      <c r="F246" s="2707"/>
      <c r="G246" s="2708"/>
      <c r="H246" s="2708"/>
      <c r="I246" s="2709"/>
      <c r="J246" s="900"/>
      <c r="K246" s="428"/>
      <c r="L246" s="428"/>
      <c r="M246" s="461"/>
      <c r="N246" s="263"/>
      <c r="O246" s="263"/>
      <c r="P246" s="263"/>
      <c r="Q246" s="263"/>
      <c r="R246" s="263"/>
      <c r="S246" s="263"/>
      <c r="T246" s="263"/>
      <c r="U246" s="263"/>
      <c r="V246" s="263"/>
      <c r="W246" s="263"/>
    </row>
    <row r="247" spans="1:23" s="468" customFormat="1" ht="21.75" customHeight="1" x14ac:dyDescent="0.35">
      <c r="A247" s="939"/>
      <c r="B247" s="2712" t="s">
        <v>2405</v>
      </c>
      <c r="C247" s="2713"/>
      <c r="D247" s="2713"/>
      <c r="E247" s="2714"/>
      <c r="F247" s="2715">
        <f>F245+F246</f>
        <v>15750000000</v>
      </c>
      <c r="G247" s="2716"/>
      <c r="H247" s="2716"/>
      <c r="I247" s="2717"/>
      <c r="J247" s="900"/>
      <c r="K247" s="428"/>
      <c r="L247" s="428"/>
      <c r="M247" s="461"/>
      <c r="N247" s="263"/>
      <c r="O247" s="263"/>
      <c r="P247" s="263"/>
      <c r="Q247" s="263"/>
      <c r="R247" s="263"/>
      <c r="S247" s="263"/>
      <c r="T247" s="263"/>
      <c r="U247" s="263"/>
      <c r="V247" s="263"/>
      <c r="W247" s="263"/>
    </row>
    <row r="248" spans="1:23" ht="9" customHeight="1" x14ac:dyDescent="0.35">
      <c r="A248" s="901"/>
      <c r="B248" s="2664"/>
      <c r="C248" s="2664"/>
      <c r="D248" s="2664"/>
      <c r="E248" s="2664"/>
      <c r="F248" s="2711"/>
      <c r="G248" s="2711"/>
      <c r="H248" s="2711"/>
      <c r="I248" s="2711"/>
      <c r="J248" s="900"/>
      <c r="K248" s="49"/>
      <c r="L248" s="49"/>
      <c r="M248" s="263"/>
      <c r="N248" s="263"/>
      <c r="O248" s="263"/>
      <c r="P248" s="263"/>
      <c r="Q248" s="263"/>
      <c r="R248" s="263"/>
      <c r="S248" s="263"/>
      <c r="T248" s="263"/>
      <c r="U248" s="263"/>
      <c r="V248" s="263"/>
      <c r="W248" s="263"/>
    </row>
    <row r="249" spans="1:23" s="468" customFormat="1" ht="15" customHeight="1" x14ac:dyDescent="0.35">
      <c r="A249" s="1331"/>
      <c r="B249" s="2557" t="str">
        <f>"Rincian Tanah Per "&amp;Input!$M$24&amp;""</f>
        <v>Rincian Tanah Per 31 Desember 2019</v>
      </c>
      <c r="C249" s="2557"/>
      <c r="D249" s="2557"/>
      <c r="E249" s="2557"/>
      <c r="F249" s="2557"/>
      <c r="G249" s="904"/>
      <c r="H249" s="904"/>
      <c r="I249" s="904"/>
      <c r="J249" s="900"/>
      <c r="K249" s="428"/>
      <c r="L249" s="428"/>
      <c r="M249" s="263"/>
      <c r="N249" s="263"/>
      <c r="O249" s="263"/>
      <c r="P249" s="263"/>
      <c r="Q249" s="263"/>
      <c r="R249" s="263"/>
      <c r="S249" s="263"/>
      <c r="T249" s="263"/>
      <c r="U249" s="263"/>
      <c r="V249" s="263"/>
      <c r="W249" s="263"/>
    </row>
    <row r="250" spans="1:23" s="468" customFormat="1" ht="25.5" customHeight="1" x14ac:dyDescent="0.35">
      <c r="A250" s="1331"/>
      <c r="B250" s="1429" t="s">
        <v>112</v>
      </c>
      <c r="C250" s="1429" t="s">
        <v>2215</v>
      </c>
      <c r="D250" s="2551" t="s">
        <v>2216</v>
      </c>
      <c r="E250" s="2551"/>
      <c r="F250" s="1429" t="s">
        <v>140</v>
      </c>
      <c r="G250" s="1332"/>
      <c r="H250" s="1332"/>
      <c r="I250" s="1332"/>
      <c r="J250" s="900"/>
      <c r="K250" s="428"/>
      <c r="L250" s="428"/>
      <c r="M250" s="263"/>
      <c r="N250" s="263"/>
      <c r="O250" s="263"/>
      <c r="P250" s="263"/>
      <c r="Q250" s="263"/>
      <c r="R250" s="263"/>
      <c r="S250" s="263"/>
      <c r="T250" s="263"/>
      <c r="U250" s="263"/>
      <c r="V250" s="263"/>
      <c r="W250" s="263"/>
    </row>
    <row r="251" spans="1:23" s="468" customFormat="1" ht="39.75" customHeight="1" x14ac:dyDescent="0.35">
      <c r="A251" s="1331"/>
      <c r="B251" s="1441">
        <v>1</v>
      </c>
      <c r="C251" s="1442" t="s">
        <v>2378</v>
      </c>
      <c r="D251" s="2552" t="s">
        <v>2379</v>
      </c>
      <c r="E251" s="2553"/>
      <c r="F251" s="1477">
        <v>15750000000</v>
      </c>
      <c r="G251" s="1332"/>
      <c r="H251" s="1332"/>
      <c r="I251" s="1332"/>
      <c r="J251" s="900"/>
      <c r="K251" s="428"/>
      <c r="L251" s="428"/>
      <c r="M251" s="263"/>
      <c r="N251" s="263"/>
      <c r="O251" s="263"/>
      <c r="P251" s="263"/>
      <c r="Q251" s="263"/>
      <c r="R251" s="263"/>
      <c r="S251" s="263"/>
      <c r="T251" s="263"/>
      <c r="U251" s="263"/>
      <c r="V251" s="263"/>
      <c r="W251" s="263"/>
    </row>
    <row r="252" spans="1:23" s="468" customFormat="1" ht="15" customHeight="1" x14ac:dyDescent="0.35">
      <c r="A252" s="1428"/>
      <c r="B252" s="1441">
        <v>2</v>
      </c>
      <c r="C252" s="1442"/>
      <c r="D252" s="2554"/>
      <c r="E252" s="2555"/>
      <c r="F252" s="1439"/>
      <c r="G252" s="1430"/>
      <c r="H252" s="1430"/>
      <c r="I252" s="1430"/>
      <c r="J252" s="900"/>
      <c r="K252" s="428"/>
      <c r="L252" s="428"/>
      <c r="M252" s="263"/>
      <c r="N252" s="263"/>
      <c r="O252" s="263"/>
      <c r="P252" s="263"/>
      <c r="Q252" s="263"/>
      <c r="R252" s="263"/>
      <c r="S252" s="263"/>
      <c r="T252" s="263"/>
      <c r="U252" s="263"/>
      <c r="V252" s="263"/>
      <c r="W252" s="263"/>
    </row>
    <row r="253" spans="1:23" s="468" customFormat="1" ht="15" customHeight="1" x14ac:dyDescent="0.35">
      <c r="A253" s="1428"/>
      <c r="B253" s="1441">
        <v>3</v>
      </c>
      <c r="C253" s="1442"/>
      <c r="D253" s="2554"/>
      <c r="E253" s="2555"/>
      <c r="F253" s="1439"/>
      <c r="G253" s="1430"/>
      <c r="H253" s="1430"/>
      <c r="I253" s="1430"/>
      <c r="J253" s="900"/>
      <c r="K253" s="428"/>
      <c r="L253" s="428"/>
      <c r="M253" s="263"/>
      <c r="N253" s="263"/>
      <c r="O253" s="263"/>
      <c r="P253" s="263"/>
      <c r="Q253" s="263"/>
      <c r="R253" s="263"/>
      <c r="S253" s="263"/>
      <c r="T253" s="263"/>
      <c r="U253" s="263"/>
      <c r="V253" s="263"/>
      <c r="W253" s="263"/>
    </row>
    <row r="254" spans="1:23" s="468" customFormat="1" ht="15" customHeight="1" x14ac:dyDescent="0.35">
      <c r="A254" s="1331"/>
      <c r="B254" s="1441">
        <v>4</v>
      </c>
      <c r="C254" s="1442"/>
      <c r="D254" s="2554"/>
      <c r="E254" s="2555"/>
      <c r="F254" s="1439"/>
      <c r="G254" s="1332"/>
      <c r="H254" s="1332"/>
      <c r="I254" s="1332"/>
      <c r="J254" s="900"/>
      <c r="K254" s="428"/>
      <c r="L254" s="428"/>
      <c r="M254" s="263"/>
      <c r="N254" s="263"/>
      <c r="O254" s="263"/>
      <c r="P254" s="263"/>
      <c r="Q254" s="263"/>
      <c r="R254" s="263"/>
      <c r="S254" s="263"/>
      <c r="T254" s="263"/>
      <c r="U254" s="263"/>
      <c r="V254" s="263"/>
      <c r="W254" s="263"/>
    </row>
    <row r="255" spans="1:23" s="468" customFormat="1" ht="15" customHeight="1" x14ac:dyDescent="0.35">
      <c r="A255" s="1331"/>
      <c r="B255" s="1441">
        <v>5</v>
      </c>
      <c r="C255" s="1442"/>
      <c r="D255" s="2554"/>
      <c r="E255" s="2555"/>
      <c r="F255" s="1439"/>
      <c r="G255" s="1332"/>
      <c r="H255" s="1332"/>
      <c r="I255" s="1332"/>
      <c r="J255" s="900"/>
      <c r="K255" s="428"/>
      <c r="L255" s="428"/>
      <c r="M255" s="263"/>
      <c r="N255" s="263"/>
      <c r="O255" s="263"/>
      <c r="P255" s="263"/>
      <c r="Q255" s="263"/>
      <c r="R255" s="263"/>
      <c r="S255" s="263"/>
      <c r="T255" s="263"/>
      <c r="U255" s="263"/>
      <c r="V255" s="263"/>
      <c r="W255" s="263"/>
    </row>
    <row r="256" spans="1:23" s="426" customFormat="1" ht="15.75" customHeight="1" x14ac:dyDescent="0.35">
      <c r="A256" s="901"/>
      <c r="B256" s="2556" t="s">
        <v>116</v>
      </c>
      <c r="C256" s="2556"/>
      <c r="D256" s="2556"/>
      <c r="E256" s="2556"/>
      <c r="F256" s="1440">
        <f>SUM(F251:F255)</f>
        <v>15750000000</v>
      </c>
      <c r="J256" s="900"/>
      <c r="K256" s="428"/>
      <c r="L256" s="428"/>
      <c r="M256" s="2668"/>
      <c r="N256" s="2668"/>
      <c r="O256" s="263"/>
      <c r="P256" s="263"/>
      <c r="Q256" s="263"/>
      <c r="R256" s="263"/>
      <c r="S256" s="263"/>
      <c r="T256" s="263"/>
      <c r="U256" s="263"/>
      <c r="V256" s="263"/>
      <c r="W256" s="263"/>
    </row>
    <row r="257" spans="1:23" s="468" customFormat="1" ht="15.75" customHeight="1" x14ac:dyDescent="0.35">
      <c r="A257" s="1331"/>
      <c r="B257" s="1357"/>
      <c r="C257" s="1357"/>
      <c r="D257" s="1357"/>
      <c r="E257" s="1357"/>
      <c r="F257" s="1358"/>
      <c r="J257" s="900"/>
      <c r="K257" s="428"/>
      <c r="L257" s="428"/>
      <c r="M257" s="1335"/>
      <c r="N257" s="1335"/>
      <c r="O257" s="263"/>
      <c r="P257" s="263"/>
      <c r="Q257" s="263"/>
      <c r="R257" s="263"/>
      <c r="S257" s="263"/>
      <c r="T257" s="263"/>
      <c r="U257" s="263"/>
      <c r="V257" s="263"/>
      <c r="W257" s="263"/>
    </row>
    <row r="258" spans="1:23" x14ac:dyDescent="0.35">
      <c r="A258" s="2508" t="str">
        <f>"Peralatan dan Mesin "&amp;TEXT($E$280,"Rp#.##0")</f>
        <v>Peralatan dan Mesin Rp5.985.434.940</v>
      </c>
      <c r="B258" s="911" t="s">
        <v>2243</v>
      </c>
      <c r="C258" s="738"/>
      <c r="D258" s="904"/>
      <c r="E258" s="904"/>
      <c r="F258" s="904"/>
      <c r="G258" s="904"/>
      <c r="H258" s="904"/>
      <c r="I258" s="904"/>
      <c r="J258" s="900"/>
      <c r="K258" s="49"/>
      <c r="L258" s="49"/>
      <c r="M258" s="263"/>
      <c r="N258" s="263"/>
      <c r="O258" s="263"/>
      <c r="P258" s="263"/>
      <c r="Q258" s="263"/>
      <c r="R258" s="263"/>
      <c r="S258" s="263"/>
      <c r="T258" s="263"/>
      <c r="U258" s="263"/>
      <c r="V258" s="263"/>
      <c r="W258" s="263"/>
    </row>
    <row r="259" spans="1:23" x14ac:dyDescent="0.35">
      <c r="A259" s="2508"/>
      <c r="B259" s="2192" t="str">
        <f>"Saldo aset tetap berupa peralatan dan mesin per "&amp;Input!Q24&amp;" dan "&amp;Input!$T$25&amp;" adalah "&amp;TEXT(Input!$I$681,"Rp#.##0")&amp;" dan "&amp;TEXT(Input!$K$681,"Rp#.##0")&amp;". Mutasi nilai Peralatan dan Mesin tersebut dapat dijelaskan sebagai berikut :"</f>
        <v>Saldo aset tetap berupa peralatan dan mesin per 31 Desember 2019 dan 31 Desember 2018 adalah Rp5.985.434.940 dan Rp5.055.343.940. Mutasi nilai Peralatan dan Mesin tersebut dapat dijelaskan sebagai berikut :</v>
      </c>
      <c r="C259" s="2192"/>
      <c r="D259" s="2192"/>
      <c r="E259" s="2192"/>
      <c r="F259" s="2192"/>
      <c r="G259" s="2192"/>
      <c r="H259" s="2192"/>
      <c r="I259" s="2192"/>
      <c r="J259" s="905"/>
    </row>
    <row r="260" spans="1:23" s="468" customFormat="1" x14ac:dyDescent="0.35">
      <c r="A260" s="2362"/>
      <c r="B260" s="2192"/>
      <c r="C260" s="2192"/>
      <c r="D260" s="2192"/>
      <c r="E260" s="2192"/>
      <c r="F260" s="2192"/>
      <c r="G260" s="2192"/>
      <c r="H260" s="2192"/>
      <c r="I260" s="2192"/>
      <c r="J260" s="905"/>
      <c r="K260" s="544"/>
    </row>
    <row r="261" spans="1:23" s="468" customFormat="1" x14ac:dyDescent="0.35">
      <c r="A261" s="2362"/>
      <c r="B261" s="2118"/>
      <c r="C261" s="2118"/>
      <c r="D261" s="2118"/>
      <c r="E261" s="2118"/>
      <c r="F261" s="2118"/>
      <c r="G261" s="2118"/>
      <c r="H261" s="2118"/>
      <c r="I261" s="2118"/>
      <c r="J261" s="905"/>
      <c r="K261" s="544"/>
    </row>
    <row r="262" spans="1:23" ht="12" customHeight="1" thickBot="1" x14ac:dyDescent="0.4">
      <c r="A262" s="901"/>
      <c r="B262" s="904"/>
      <c r="C262" s="904"/>
      <c r="D262" s="904"/>
      <c r="E262" s="904"/>
      <c r="F262" s="904"/>
      <c r="G262" s="904"/>
      <c r="H262" s="904"/>
      <c r="I262" s="904"/>
      <c r="J262" s="900"/>
    </row>
    <row r="263" spans="1:23" x14ac:dyDescent="0.35">
      <c r="A263" s="901"/>
      <c r="B263" s="2672" t="str">
        <f>"Saldo Nilai Perolehan per "&amp;Input!$T$25</f>
        <v>Saldo Nilai Perolehan per 31 Desember 2018</v>
      </c>
      <c r="C263" s="2673"/>
      <c r="D263" s="2674"/>
      <c r="E263" s="1115">
        <f>Input!$I$623</f>
        <v>5055343940</v>
      </c>
      <c r="F263" s="904"/>
      <c r="G263" s="904"/>
      <c r="H263" s="904"/>
      <c r="I263" s="904"/>
      <c r="J263" s="900"/>
    </row>
    <row r="264" spans="1:23" x14ac:dyDescent="0.35">
      <c r="A264" s="901"/>
      <c r="B264" s="2647" t="s">
        <v>136</v>
      </c>
      <c r="C264" s="2648"/>
      <c r="D264" s="2649"/>
      <c r="E264" s="1116"/>
      <c r="F264" s="904"/>
      <c r="G264" s="904"/>
      <c r="H264" s="904"/>
      <c r="I264" s="904"/>
      <c r="J264" s="900"/>
    </row>
    <row r="265" spans="1:23" x14ac:dyDescent="0.35">
      <c r="A265" s="901"/>
      <c r="B265" s="1125" t="s">
        <v>113</v>
      </c>
      <c r="C265" s="2549" t="str">
        <f>Input!$B$625</f>
        <v>Saldo Awal</v>
      </c>
      <c r="D265" s="2550"/>
      <c r="E265" s="1116">
        <f>Input!I625</f>
        <v>0</v>
      </c>
      <c r="F265" s="904"/>
      <c r="G265" s="904"/>
      <c r="H265" s="904"/>
      <c r="I265" s="904"/>
      <c r="J265" s="900"/>
    </row>
    <row r="266" spans="1:23" x14ac:dyDescent="0.35">
      <c r="A266" s="901"/>
      <c r="B266" s="1125" t="s">
        <v>113</v>
      </c>
      <c r="C266" s="2549" t="str">
        <f>Input!$B$626</f>
        <v>Pembelian</v>
      </c>
      <c r="D266" s="2550"/>
      <c r="E266" s="1116">
        <f>Input!I626</f>
        <v>950439900</v>
      </c>
      <c r="F266" s="904"/>
      <c r="G266" s="904"/>
      <c r="H266" s="904"/>
      <c r="I266" s="904"/>
      <c r="J266" s="900"/>
    </row>
    <row r="267" spans="1:23" x14ac:dyDescent="0.35">
      <c r="A267" s="901"/>
      <c r="B267" s="1125" t="s">
        <v>113</v>
      </c>
      <c r="C267" s="2549" t="str">
        <f>Input!$B$627</f>
        <v>Transfer Masuk</v>
      </c>
      <c r="D267" s="2550"/>
      <c r="E267" s="1116">
        <f>Input!I627</f>
        <v>0</v>
      </c>
      <c r="F267" s="904"/>
      <c r="G267" s="904"/>
      <c r="H267" s="904"/>
      <c r="I267" s="904"/>
      <c r="J267" s="900"/>
    </row>
    <row r="268" spans="1:23" s="266" customFormat="1" x14ac:dyDescent="0.35">
      <c r="A268" s="901"/>
      <c r="B268" s="1125" t="s">
        <v>113</v>
      </c>
      <c r="C268" s="2549" t="str">
        <f>Input!$B$628</f>
        <v>Pengembangan</v>
      </c>
      <c r="D268" s="2550"/>
      <c r="E268" s="1116">
        <f>Input!I628</f>
        <v>0</v>
      </c>
      <c r="F268" s="904"/>
      <c r="G268" s="904"/>
      <c r="H268" s="904"/>
      <c r="I268" s="904"/>
      <c r="J268" s="900"/>
      <c r="K268" s="267"/>
    </row>
    <row r="269" spans="1:23" s="266" customFormat="1" x14ac:dyDescent="0.35">
      <c r="A269" s="901"/>
      <c r="B269" s="1125" t="s">
        <v>113</v>
      </c>
      <c r="C269" s="2549" t="str">
        <f>Input!$B$629</f>
        <v>Reklasifikasi Masuk</v>
      </c>
      <c r="D269" s="2550"/>
      <c r="E269" s="1116">
        <f>Input!I629</f>
        <v>0</v>
      </c>
      <c r="F269" s="904"/>
      <c r="G269" s="904"/>
      <c r="H269" s="904"/>
      <c r="I269" s="904"/>
      <c r="J269" s="900"/>
      <c r="K269" s="267"/>
    </row>
    <row r="270" spans="1:23" s="266" customFormat="1" x14ac:dyDescent="0.35">
      <c r="A270" s="901"/>
      <c r="B270" s="1125" t="s">
        <v>113</v>
      </c>
      <c r="C270" s="2549" t="str">
        <f>Input!$B$630</f>
        <v>Revaluasi Aset</v>
      </c>
      <c r="D270" s="2550"/>
      <c r="E270" s="1116">
        <f>Input!I630</f>
        <v>0</v>
      </c>
      <c r="F270" s="904"/>
      <c r="G270" s="904"/>
      <c r="H270" s="904"/>
      <c r="I270" s="904"/>
      <c r="J270" s="900"/>
      <c r="K270" s="267"/>
      <c r="M270" s="45" t="s">
        <v>1992</v>
      </c>
    </row>
    <row r="271" spans="1:23" s="266" customFormat="1" x14ac:dyDescent="0.35">
      <c r="A271" s="901"/>
      <c r="B271" s="1125" t="s">
        <v>113</v>
      </c>
      <c r="C271" s="2549" t="str">
        <f>Input!$B$631</f>
        <v>Lain-Lain</v>
      </c>
      <c r="D271" s="2550"/>
      <c r="E271" s="1116">
        <f>Input!I631</f>
        <v>0</v>
      </c>
      <c r="F271" s="904"/>
      <c r="G271" s="904"/>
      <c r="H271" s="904"/>
      <c r="I271" s="904"/>
      <c r="J271" s="900"/>
      <c r="K271" s="267"/>
    </row>
    <row r="272" spans="1:23" s="266" customFormat="1" x14ac:dyDescent="0.35">
      <c r="A272" s="901"/>
      <c r="B272" s="996"/>
      <c r="C272" s="997"/>
      <c r="D272" s="998"/>
      <c r="E272" s="1117">
        <f>SUM(E265:E271)</f>
        <v>950439900</v>
      </c>
      <c r="F272" s="904"/>
      <c r="G272" s="904"/>
      <c r="H272" s="904"/>
      <c r="I272" s="904"/>
      <c r="J272" s="900"/>
      <c r="K272" s="267"/>
    </row>
    <row r="273" spans="1:11" x14ac:dyDescent="0.35">
      <c r="A273" s="901"/>
      <c r="B273" s="2647" t="s">
        <v>137</v>
      </c>
      <c r="C273" s="2648"/>
      <c r="D273" s="2649"/>
      <c r="E273" s="1116"/>
      <c r="F273" s="904"/>
      <c r="G273" s="904"/>
      <c r="H273" s="904"/>
      <c r="I273" s="904"/>
      <c r="J273" s="900"/>
    </row>
    <row r="274" spans="1:11" x14ac:dyDescent="0.35">
      <c r="A274" s="901"/>
      <c r="B274" s="1125" t="s">
        <v>113</v>
      </c>
      <c r="C274" s="2549" t="str">
        <f>Input!$B$634</f>
        <v>Transfer Keluar</v>
      </c>
      <c r="D274" s="2550"/>
      <c r="E274" s="1116">
        <f>Input!I634</f>
        <v>0</v>
      </c>
      <c r="F274" s="904"/>
      <c r="G274" s="904"/>
      <c r="H274" s="904"/>
      <c r="I274" s="904"/>
      <c r="J274" s="900"/>
    </row>
    <row r="275" spans="1:11" x14ac:dyDescent="0.35">
      <c r="A275" s="901"/>
      <c r="B275" s="1125" t="s">
        <v>113</v>
      </c>
      <c r="C275" s="2549" t="str">
        <f>Input!$B$635</f>
        <v>Reklasifikasi Keluar</v>
      </c>
      <c r="D275" s="2550"/>
      <c r="E275" s="1116">
        <f>Input!I635</f>
        <v>0</v>
      </c>
      <c r="F275" s="904"/>
      <c r="G275" s="904"/>
      <c r="H275" s="904"/>
      <c r="I275" s="904"/>
      <c r="J275" s="900"/>
    </row>
    <row r="276" spans="1:11" s="266" customFormat="1" x14ac:dyDescent="0.35">
      <c r="A276" s="901"/>
      <c r="B276" s="1125" t="s">
        <v>113</v>
      </c>
      <c r="C276" s="2549" t="str">
        <f>Input!$B$636</f>
        <v>Penghapusan</v>
      </c>
      <c r="D276" s="2550"/>
      <c r="E276" s="1118">
        <f>Input!I636</f>
        <v>20348900</v>
      </c>
      <c r="F276" s="904"/>
      <c r="G276" s="904"/>
      <c r="H276" s="904"/>
      <c r="I276" s="904"/>
      <c r="J276" s="900"/>
      <c r="K276" s="267"/>
    </row>
    <row r="277" spans="1:11" s="266" customFormat="1" x14ac:dyDescent="0.35">
      <c r="A277" s="901"/>
      <c r="B277" s="1125" t="s">
        <v>113</v>
      </c>
      <c r="C277" s="2549" t="str">
        <f>Input!$B$637</f>
        <v>Koreksi Nilai</v>
      </c>
      <c r="D277" s="2550"/>
      <c r="E277" s="1118">
        <f>Input!I637</f>
        <v>0</v>
      </c>
      <c r="F277" s="904"/>
      <c r="G277" s="904"/>
      <c r="H277" s="904"/>
      <c r="I277" s="904"/>
      <c r="J277" s="900"/>
      <c r="K277" s="267"/>
    </row>
    <row r="278" spans="1:11" s="266" customFormat="1" x14ac:dyDescent="0.35">
      <c r="A278" s="901"/>
      <c r="B278" s="1125" t="s">
        <v>113</v>
      </c>
      <c r="C278" s="2549" t="str">
        <f>Input!$B$638</f>
        <v>Lain-lain</v>
      </c>
      <c r="D278" s="2550"/>
      <c r="E278" s="1118">
        <f>Input!I638</f>
        <v>0</v>
      </c>
      <c r="F278" s="904"/>
      <c r="G278" s="904"/>
      <c r="H278" s="904"/>
      <c r="I278" s="904"/>
      <c r="J278" s="900"/>
      <c r="K278" s="267"/>
    </row>
    <row r="279" spans="1:11" s="266" customFormat="1" ht="15.75" customHeight="1" x14ac:dyDescent="0.35">
      <c r="A279" s="901"/>
      <c r="B279" s="999"/>
      <c r="C279" s="1000"/>
      <c r="D279" s="1001"/>
      <c r="E279" s="1119">
        <f>SUM(E274:E278)</f>
        <v>20348900</v>
      </c>
      <c r="F279" s="904"/>
      <c r="G279" s="904"/>
      <c r="H279" s="904"/>
      <c r="I279" s="904"/>
      <c r="J279" s="900"/>
      <c r="K279" s="267"/>
    </row>
    <row r="280" spans="1:11" x14ac:dyDescent="0.35">
      <c r="A280" s="901"/>
      <c r="B280" s="2729" t="str">
        <f>"Saldo per "&amp;Input!Q24&amp;" "</f>
        <v xml:space="preserve">Saldo per 31 Desember 2019 </v>
      </c>
      <c r="C280" s="2730"/>
      <c r="D280" s="2731"/>
      <c r="E280" s="1120">
        <f>E263+E272-E279</f>
        <v>5985434940</v>
      </c>
      <c r="F280" s="904"/>
      <c r="G280" s="904"/>
      <c r="H280" s="904"/>
      <c r="I280" s="904"/>
      <c r="J280" s="900"/>
    </row>
    <row r="281" spans="1:11" s="273" customFormat="1" ht="16" thickBot="1" x14ac:dyDescent="0.4">
      <c r="A281" s="901"/>
      <c r="B281" s="2723" t="str">
        <f>"Akumulasi Penyusutan s.d "&amp;Input!Q24&amp;" "</f>
        <v xml:space="preserve">Akumulasi Penyusutan s.d 31 Desember 2019 </v>
      </c>
      <c r="C281" s="2724"/>
      <c r="D281" s="2725"/>
      <c r="E281" s="1121">
        <v>-3675531716</v>
      </c>
      <c r="F281" s="904"/>
      <c r="G281" s="904"/>
      <c r="H281" s="904"/>
      <c r="I281" s="904"/>
      <c r="J281" s="900"/>
      <c r="K281" s="274"/>
    </row>
    <row r="282" spans="1:11" s="273" customFormat="1" ht="16" thickBot="1" x14ac:dyDescent="0.4">
      <c r="A282" s="901"/>
      <c r="B282" s="2726" t="str">
        <f>"Nilai Buku per "&amp;Input!Q24&amp;" "</f>
        <v xml:space="preserve">Nilai Buku per 31 Desember 2019 </v>
      </c>
      <c r="C282" s="2727"/>
      <c r="D282" s="2728"/>
      <c r="E282" s="1122">
        <f>E280+E281</f>
        <v>2309903224</v>
      </c>
      <c r="F282" s="904"/>
      <c r="G282" s="904"/>
      <c r="H282" s="904"/>
      <c r="I282" s="904"/>
      <c r="J282" s="900"/>
      <c r="K282" s="274"/>
    </row>
    <row r="283" spans="1:11" x14ac:dyDescent="0.35">
      <c r="A283" s="901"/>
      <c r="B283" s="904"/>
      <c r="C283" s="904"/>
      <c r="D283" s="904"/>
      <c r="E283" s="904"/>
      <c r="F283" s="904"/>
      <c r="G283" s="904"/>
      <c r="H283" s="904"/>
      <c r="I283" s="904"/>
      <c r="J283" s="900"/>
    </row>
    <row r="284" spans="1:11" x14ac:dyDescent="0.35">
      <c r="A284" s="901"/>
      <c r="B284" s="2546" t="s">
        <v>2131</v>
      </c>
      <c r="C284" s="2546"/>
      <c r="D284" s="2546"/>
      <c r="E284" s="2546"/>
      <c r="F284" s="2546"/>
      <c r="G284" s="2546"/>
      <c r="H284" s="2546"/>
      <c r="I284" s="2546"/>
      <c r="J284" s="900"/>
    </row>
    <row r="285" spans="1:11" ht="86.25" customHeight="1" x14ac:dyDescent="0.35">
      <c r="A285" s="901"/>
      <c r="B285" s="1313" t="s">
        <v>125</v>
      </c>
      <c r="C285" s="2255" t="s">
        <v>2406</v>
      </c>
      <c r="D285" s="2255"/>
      <c r="E285" s="2255"/>
      <c r="F285" s="2255"/>
      <c r="G285" s="2255"/>
      <c r="H285" s="2255"/>
      <c r="I285" s="2255"/>
      <c r="J285" s="905"/>
    </row>
    <row r="286" spans="1:11" s="468" customFormat="1" ht="42.75" customHeight="1" x14ac:dyDescent="0.35">
      <c r="A286" s="1420"/>
      <c r="B286" s="1313"/>
      <c r="C286" s="2650"/>
      <c r="D286" s="2650"/>
      <c r="E286" s="2650"/>
      <c r="F286" s="2650"/>
      <c r="G286" s="2650"/>
      <c r="H286" s="2650"/>
      <c r="I286" s="2650"/>
      <c r="J286" s="1322"/>
      <c r="K286" s="544"/>
    </row>
    <row r="287" spans="1:11" s="426" customFormat="1" ht="11.25" customHeight="1" x14ac:dyDescent="0.35">
      <c r="A287" s="901"/>
      <c r="B287" s="1002"/>
      <c r="C287" s="1306"/>
      <c r="D287" s="1306"/>
      <c r="E287" s="1306"/>
      <c r="F287" s="1306"/>
      <c r="G287" s="1306"/>
      <c r="H287" s="1306"/>
      <c r="I287" s="1306"/>
      <c r="J287" s="905"/>
      <c r="K287" s="425"/>
    </row>
    <row r="288" spans="1:11" s="426" customFormat="1" x14ac:dyDescent="0.35">
      <c r="A288" s="901"/>
      <c r="B288" s="2546" t="s">
        <v>2130</v>
      </c>
      <c r="C288" s="2546"/>
      <c r="D288" s="2546"/>
      <c r="E288" s="2546"/>
      <c r="F288" s="2546"/>
      <c r="G288" s="2546"/>
      <c r="H288" s="2546"/>
      <c r="I288" s="2546"/>
      <c r="J288" s="905"/>
      <c r="K288" s="425"/>
    </row>
    <row r="289" spans="1:13" s="426" customFormat="1" ht="30" customHeight="1" x14ac:dyDescent="0.35">
      <c r="A289" s="901"/>
      <c r="B289" s="1313" t="s">
        <v>125</v>
      </c>
      <c r="C289" s="2547" t="s">
        <v>2407</v>
      </c>
      <c r="D289" s="2255"/>
      <c r="E289" s="2255"/>
      <c r="F289" s="2255"/>
      <c r="G289" s="2255"/>
      <c r="H289" s="2255"/>
      <c r="I289" s="2255"/>
      <c r="J289" s="905"/>
      <c r="K289" s="425"/>
    </row>
    <row r="290" spans="1:13" s="426" customFormat="1" ht="3.75" customHeight="1" x14ac:dyDescent="0.35">
      <c r="A290" s="901"/>
      <c r="B290" s="1002"/>
      <c r="C290" s="846"/>
      <c r="D290" s="846"/>
      <c r="E290" s="846"/>
      <c r="F290" s="846"/>
      <c r="G290" s="846"/>
      <c r="H290" s="846"/>
      <c r="I290" s="846"/>
      <c r="J290" s="900"/>
      <c r="K290" s="425"/>
    </row>
    <row r="291" spans="1:13" s="426" customFormat="1" ht="17.25" customHeight="1" x14ac:dyDescent="0.35">
      <c r="A291" s="901"/>
      <c r="B291" s="2558" t="s">
        <v>1773</v>
      </c>
      <c r="C291" s="2558"/>
      <c r="D291" s="2558"/>
      <c r="E291" s="2558"/>
      <c r="F291" s="2558"/>
      <c r="G291" s="2558"/>
      <c r="H291" s="2558"/>
      <c r="I291" s="2558"/>
      <c r="J291" s="900"/>
      <c r="K291" s="425"/>
    </row>
    <row r="292" spans="1:13" s="426" customFormat="1" ht="9" customHeight="1" x14ac:dyDescent="0.35">
      <c r="A292" s="901"/>
      <c r="B292" s="963"/>
      <c r="C292" s="964"/>
      <c r="D292" s="964"/>
      <c r="E292" s="964"/>
      <c r="F292" s="964"/>
      <c r="G292" s="964"/>
      <c r="H292" s="964"/>
      <c r="I292" s="964"/>
      <c r="J292" s="900"/>
      <c r="K292" s="425"/>
    </row>
    <row r="293" spans="1:13" x14ac:dyDescent="0.35">
      <c r="A293" s="2508" t="str">
        <f>"Gedung dan Bangunan "&amp;TEXT($E$315,"Rp#.##0")</f>
        <v>Gedung dan Bangunan Rp6.311.976.199</v>
      </c>
      <c r="B293" s="911" t="s">
        <v>2244</v>
      </c>
      <c r="C293" s="738"/>
      <c r="D293" s="904"/>
      <c r="E293" s="904"/>
      <c r="F293" s="904"/>
      <c r="G293" s="904"/>
      <c r="H293" s="904"/>
      <c r="I293" s="904"/>
      <c r="J293" s="905"/>
      <c r="L293" s="261"/>
    </row>
    <row r="294" spans="1:13" s="261" customFormat="1" x14ac:dyDescent="0.35">
      <c r="A294" s="2508"/>
      <c r="B294" s="2192" t="str">
        <f>"Saldo Gedung dan Bangunan per "&amp;Input!Q24&amp;" dan "&amp;Input!$T$25&amp;" masing-masing adalah sebesar "&amp;TEXT(Input!$I$682,"Rp#.##0")&amp;" dan "&amp;TEXT(Input!$K$682,"Rp#.##0")&amp;". Mutasi transaksi terhadap Gedung dan Bangunan pada tanggal pelaporan adalah sebagai berikut:"</f>
        <v>Saldo Gedung dan Bangunan per 31 Desember 2019 dan 31 Desember 2018 masing-masing adalah sebesar Rp6.311.976.199 dan Rp5.775.313.149. Mutasi transaksi terhadap Gedung dan Bangunan pada tanggal pelaporan adalah sebagai berikut:</v>
      </c>
      <c r="C294" s="2192"/>
      <c r="D294" s="2192"/>
      <c r="E294" s="2192"/>
      <c r="F294" s="2192"/>
      <c r="G294" s="2192"/>
      <c r="H294" s="2192"/>
      <c r="I294" s="2192"/>
      <c r="J294" s="905"/>
      <c r="K294" s="264"/>
    </row>
    <row r="295" spans="1:13" s="468" customFormat="1" ht="18.75" customHeight="1" x14ac:dyDescent="0.35">
      <c r="A295" s="2362"/>
      <c r="B295" s="2192"/>
      <c r="C295" s="2192"/>
      <c r="D295" s="2192"/>
      <c r="E295" s="2192"/>
      <c r="F295" s="2192"/>
      <c r="G295" s="2192"/>
      <c r="H295" s="2192"/>
      <c r="I295" s="2192"/>
      <c r="J295" s="905"/>
      <c r="K295" s="544"/>
    </row>
    <row r="296" spans="1:13" s="468" customFormat="1" ht="11.25" customHeight="1" x14ac:dyDescent="0.35">
      <c r="A296" s="912"/>
      <c r="B296" s="2118"/>
      <c r="C296" s="2118"/>
      <c r="D296" s="2118"/>
      <c r="E296" s="2118"/>
      <c r="F296" s="2118"/>
      <c r="G296" s="2118"/>
      <c r="H296" s="2118"/>
      <c r="I296" s="2118"/>
      <c r="J296" s="905"/>
      <c r="K296" s="544"/>
    </row>
    <row r="297" spans="1:13" s="261" customFormat="1" ht="6.75" customHeight="1" thickBot="1" x14ac:dyDescent="0.4">
      <c r="A297" s="912"/>
      <c r="B297" s="807"/>
      <c r="C297" s="807"/>
      <c r="D297" s="807"/>
      <c r="E297" s="807"/>
      <c r="F297" s="807"/>
      <c r="G297" s="807"/>
      <c r="H297" s="807"/>
      <c r="I297" s="807"/>
      <c r="J297" s="905"/>
      <c r="K297" s="264"/>
    </row>
    <row r="298" spans="1:13" x14ac:dyDescent="0.35">
      <c r="A298" s="901"/>
      <c r="B298" s="2738" t="str">
        <f>"Saldo Nilai Perolehan per "&amp;Input!$T$25</f>
        <v>Saldo Nilai Perolehan per 31 Desember 2018</v>
      </c>
      <c r="C298" s="2739"/>
      <c r="D298" s="2740"/>
      <c r="E298" s="1015">
        <f>Input!$M$623</f>
        <v>5775313149</v>
      </c>
      <c r="F298" s="904"/>
      <c r="G298" s="904"/>
      <c r="H298" s="904"/>
      <c r="I298" s="904"/>
      <c r="J298" s="900"/>
    </row>
    <row r="299" spans="1:13" x14ac:dyDescent="0.35">
      <c r="A299" s="901"/>
      <c r="B299" s="2669" t="s">
        <v>136</v>
      </c>
      <c r="C299" s="2670"/>
      <c r="D299" s="2671"/>
      <c r="E299" s="1016"/>
      <c r="F299" s="904"/>
      <c r="G299" s="904"/>
      <c r="H299" s="904"/>
      <c r="I299" s="904"/>
      <c r="J299" s="900"/>
    </row>
    <row r="300" spans="1:13" x14ac:dyDescent="0.35">
      <c r="A300" s="901"/>
      <c r="B300" s="1126" t="s">
        <v>113</v>
      </c>
      <c r="C300" s="2598" t="str">
        <f>Input!$B$625</f>
        <v>Saldo Awal</v>
      </c>
      <c r="D300" s="2599"/>
      <c r="E300" s="1016">
        <f>Input!M625</f>
        <v>0</v>
      </c>
      <c r="F300" s="904"/>
      <c r="G300" s="904"/>
      <c r="H300" s="904"/>
      <c r="I300" s="904"/>
      <c r="J300" s="900"/>
    </row>
    <row r="301" spans="1:13" x14ac:dyDescent="0.35">
      <c r="A301" s="901"/>
      <c r="B301" s="1126" t="s">
        <v>113</v>
      </c>
      <c r="C301" s="2598" t="str">
        <f>Input!$B$626</f>
        <v>Pembelian</v>
      </c>
      <c r="D301" s="2599"/>
      <c r="E301" s="1016">
        <f>Input!M626</f>
        <v>0</v>
      </c>
      <c r="F301" s="904"/>
      <c r="G301" s="904"/>
      <c r="H301" s="904"/>
      <c r="I301" s="904"/>
      <c r="J301" s="900"/>
    </row>
    <row r="302" spans="1:13" x14ac:dyDescent="0.35">
      <c r="A302" s="901"/>
      <c r="B302" s="1126" t="s">
        <v>113</v>
      </c>
      <c r="C302" s="2598" t="str">
        <f>Input!$B$627</f>
        <v>Transfer Masuk</v>
      </c>
      <c r="D302" s="2599"/>
      <c r="E302" s="1016">
        <f>Input!M627</f>
        <v>0</v>
      </c>
      <c r="F302" s="904"/>
      <c r="G302" s="904"/>
      <c r="H302" s="904"/>
      <c r="I302" s="904"/>
      <c r="J302" s="900"/>
    </row>
    <row r="303" spans="1:13" x14ac:dyDescent="0.35">
      <c r="A303" s="901"/>
      <c r="B303" s="1126" t="s">
        <v>113</v>
      </c>
      <c r="C303" s="2598" t="str">
        <f>Input!$B$628</f>
        <v>Pengembangan</v>
      </c>
      <c r="D303" s="2599"/>
      <c r="E303" s="1016">
        <f>Input!M628</f>
        <v>536663050</v>
      </c>
      <c r="F303" s="904"/>
      <c r="G303" s="904"/>
      <c r="H303" s="904"/>
      <c r="I303" s="904"/>
      <c r="J303" s="900"/>
    </row>
    <row r="304" spans="1:13" x14ac:dyDescent="0.35">
      <c r="A304" s="901"/>
      <c r="B304" s="1126" t="s">
        <v>113</v>
      </c>
      <c r="C304" s="2598" t="str">
        <f>Input!$B$629</f>
        <v>Reklasifikasi Masuk</v>
      </c>
      <c r="D304" s="2599"/>
      <c r="E304" s="1016">
        <f>Input!M629</f>
        <v>0</v>
      </c>
      <c r="F304" s="904"/>
      <c r="G304" s="904"/>
      <c r="H304" s="904"/>
      <c r="I304" s="904"/>
      <c r="J304" s="900"/>
      <c r="M304" s="45" t="s">
        <v>1993</v>
      </c>
    </row>
    <row r="305" spans="1:11" s="266" customFormat="1" x14ac:dyDescent="0.35">
      <c r="A305" s="901"/>
      <c r="B305" s="1126" t="s">
        <v>113</v>
      </c>
      <c r="C305" s="2598" t="str">
        <f>Input!$B$630</f>
        <v>Revaluasi Aset</v>
      </c>
      <c r="D305" s="2599"/>
      <c r="E305" s="1016">
        <f>Input!M630</f>
        <v>0</v>
      </c>
      <c r="F305" s="904"/>
      <c r="G305" s="904"/>
      <c r="H305" s="904"/>
      <c r="I305" s="904"/>
      <c r="J305" s="900"/>
      <c r="K305" s="267"/>
    </row>
    <row r="306" spans="1:11" s="266" customFormat="1" x14ac:dyDescent="0.35">
      <c r="A306" s="901"/>
      <c r="B306" s="1126" t="s">
        <v>113</v>
      </c>
      <c r="C306" s="2598" t="str">
        <f>Input!$B$631</f>
        <v>Lain-Lain</v>
      </c>
      <c r="D306" s="2599"/>
      <c r="E306" s="1016">
        <f>Input!M631</f>
        <v>0</v>
      </c>
      <c r="F306" s="904"/>
      <c r="G306" s="904"/>
      <c r="H306" s="904"/>
      <c r="I306" s="904"/>
      <c r="J306" s="900"/>
      <c r="K306" s="267"/>
    </row>
    <row r="307" spans="1:11" s="266" customFormat="1" ht="14.25" customHeight="1" x14ac:dyDescent="0.35">
      <c r="A307" s="901"/>
      <c r="B307" s="957"/>
      <c r="C307" s="958"/>
      <c r="D307" s="959"/>
      <c r="E307" s="1017">
        <f>SUM(E300:E306)</f>
        <v>536663050</v>
      </c>
      <c r="F307" s="904"/>
      <c r="G307" s="904"/>
      <c r="H307" s="904"/>
      <c r="I307" s="904"/>
      <c r="J307" s="900"/>
      <c r="K307" s="267"/>
    </row>
    <row r="308" spans="1:11" s="266" customFormat="1" x14ac:dyDescent="0.35">
      <c r="A308" s="901"/>
      <c r="B308" s="2669" t="s">
        <v>137</v>
      </c>
      <c r="C308" s="2670"/>
      <c r="D308" s="2671"/>
      <c r="E308" s="1016"/>
      <c r="F308" s="904"/>
      <c r="G308" s="904"/>
      <c r="H308" s="904"/>
      <c r="I308" s="904"/>
      <c r="J308" s="900"/>
      <c r="K308" s="267"/>
    </row>
    <row r="309" spans="1:11" s="266" customFormat="1" x14ac:dyDescent="0.35">
      <c r="A309" s="901"/>
      <c r="B309" s="1126" t="s">
        <v>113</v>
      </c>
      <c r="C309" s="2598" t="str">
        <f>Input!$B$634</f>
        <v>Transfer Keluar</v>
      </c>
      <c r="D309" s="2599"/>
      <c r="E309" s="1016">
        <f>Input!M634</f>
        <v>0</v>
      </c>
      <c r="F309" s="904"/>
      <c r="G309" s="904" t="s">
        <v>124</v>
      </c>
      <c r="H309" s="904"/>
      <c r="I309" s="904"/>
      <c r="J309" s="900"/>
      <c r="K309" s="267"/>
    </row>
    <row r="310" spans="1:11" s="266" customFormat="1" x14ac:dyDescent="0.35">
      <c r="A310" s="901"/>
      <c r="B310" s="1126" t="s">
        <v>113</v>
      </c>
      <c r="C310" s="2598" t="str">
        <f>Input!$B$635</f>
        <v>Reklasifikasi Keluar</v>
      </c>
      <c r="D310" s="2599"/>
      <c r="E310" s="1016">
        <f>Input!M635</f>
        <v>0</v>
      </c>
      <c r="F310" s="904"/>
      <c r="G310" s="904"/>
      <c r="H310" s="904"/>
      <c r="I310" s="904"/>
      <c r="J310" s="900"/>
      <c r="K310" s="267"/>
    </row>
    <row r="311" spans="1:11" s="266" customFormat="1" x14ac:dyDescent="0.35">
      <c r="A311" s="901"/>
      <c r="B311" s="1126" t="s">
        <v>113</v>
      </c>
      <c r="C311" s="2598" t="str">
        <f>Input!$B$636</f>
        <v>Penghapusan</v>
      </c>
      <c r="D311" s="2599"/>
      <c r="E311" s="1016">
        <f>Input!M636</f>
        <v>0</v>
      </c>
      <c r="F311" s="904"/>
      <c r="G311" s="904"/>
      <c r="H311" s="904"/>
      <c r="I311" s="904"/>
      <c r="J311" s="900"/>
      <c r="K311" s="267"/>
    </row>
    <row r="312" spans="1:11" s="266" customFormat="1" x14ac:dyDescent="0.35">
      <c r="A312" s="901"/>
      <c r="B312" s="1126" t="s">
        <v>113</v>
      </c>
      <c r="C312" s="2598" t="str">
        <f>Input!$B$637</f>
        <v>Koreksi Nilai</v>
      </c>
      <c r="D312" s="2599"/>
      <c r="E312" s="1016">
        <f>Input!M637</f>
        <v>0</v>
      </c>
      <c r="F312" s="904"/>
      <c r="G312" s="904"/>
      <c r="H312" s="904"/>
      <c r="I312" s="904"/>
      <c r="J312" s="900"/>
      <c r="K312" s="267"/>
    </row>
    <row r="313" spans="1:11" s="266" customFormat="1" x14ac:dyDescent="0.35">
      <c r="A313" s="901"/>
      <c r="B313" s="1126" t="s">
        <v>113</v>
      </c>
      <c r="C313" s="2598" t="str">
        <f>Input!$B$638</f>
        <v>Lain-lain</v>
      </c>
      <c r="D313" s="2599"/>
      <c r="E313" s="1016">
        <f>Input!M638</f>
        <v>0</v>
      </c>
      <c r="F313" s="904"/>
      <c r="G313" s="904"/>
      <c r="H313" s="904"/>
      <c r="I313" s="904"/>
      <c r="J313" s="900"/>
      <c r="K313" s="267"/>
    </row>
    <row r="314" spans="1:11" ht="12" customHeight="1" x14ac:dyDescent="0.35">
      <c r="A314" s="901"/>
      <c r="B314" s="960"/>
      <c r="C314" s="961"/>
      <c r="D314" s="962"/>
      <c r="E314" s="1018">
        <f>SUM(E309:E313)</f>
        <v>0</v>
      </c>
      <c r="F314" s="1478">
        <f>E305-E312</f>
        <v>0</v>
      </c>
      <c r="G314" s="904"/>
      <c r="H314" s="904"/>
      <c r="I314" s="904"/>
      <c r="J314" s="900"/>
    </row>
    <row r="315" spans="1:11" x14ac:dyDescent="0.35">
      <c r="A315" s="901"/>
      <c r="B315" s="2600" t="str">
        <f>"Saldo per "&amp;Input!Q24&amp;" sebelum Penyusutan"</f>
        <v>Saldo per 31 Desember 2019 sebelum Penyusutan</v>
      </c>
      <c r="C315" s="2601"/>
      <c r="D315" s="2602"/>
      <c r="E315" s="1123">
        <f>E298+E307-E314</f>
        <v>6311976199</v>
      </c>
      <c r="F315" s="904" t="s">
        <v>124</v>
      </c>
      <c r="G315" s="904"/>
      <c r="H315" s="904"/>
      <c r="I315" s="904"/>
      <c r="J315" s="900"/>
    </row>
    <row r="316" spans="1:11" s="273" customFormat="1" ht="16" thickBot="1" x14ac:dyDescent="0.4">
      <c r="A316" s="901"/>
      <c r="B316" s="2770" t="str">
        <f>"Akumulasi Penyusutan s.d "&amp;Input!Q24&amp;" "</f>
        <v xml:space="preserve">Akumulasi Penyusutan s.d 31 Desember 2019 </v>
      </c>
      <c r="C316" s="2771"/>
      <c r="D316" s="2772"/>
      <c r="E316" s="1019">
        <v>-77044451</v>
      </c>
      <c r="F316" s="904"/>
      <c r="G316" s="904"/>
      <c r="H316" s="904"/>
      <c r="I316" s="904"/>
      <c r="J316" s="900"/>
      <c r="K316" s="274"/>
    </row>
    <row r="317" spans="1:11" s="273" customFormat="1" ht="16" thickBot="1" x14ac:dyDescent="0.4">
      <c r="A317" s="901"/>
      <c r="B317" s="2665" t="str">
        <f>"Nilai Buku per "&amp;Input!Q24&amp;" "</f>
        <v xml:space="preserve">Nilai Buku per 31 Desember 2019 </v>
      </c>
      <c r="C317" s="2666"/>
      <c r="D317" s="2667"/>
      <c r="E317" s="1124">
        <f>E315+E316</f>
        <v>6234931748</v>
      </c>
      <c r="F317" s="904"/>
      <c r="G317" s="904"/>
      <c r="H317" s="904"/>
      <c r="I317" s="904"/>
      <c r="J317" s="900"/>
      <c r="K317" s="274"/>
    </row>
    <row r="318" spans="1:11" ht="9" customHeight="1" x14ac:dyDescent="0.35">
      <c r="A318" s="901"/>
      <c r="B318" s="904"/>
      <c r="C318" s="904"/>
      <c r="D318" s="904"/>
      <c r="E318" s="904"/>
      <c r="F318" s="904"/>
      <c r="G318" s="904"/>
      <c r="H318" s="904"/>
      <c r="I318" s="904"/>
      <c r="J318" s="900"/>
    </row>
    <row r="319" spans="1:11" x14ac:dyDescent="0.35">
      <c r="A319" s="901"/>
      <c r="B319" s="2255" t="s">
        <v>1991</v>
      </c>
      <c r="C319" s="2255"/>
      <c r="D319" s="2255"/>
      <c r="E319" s="2255"/>
      <c r="F319" s="2255"/>
      <c r="G319" s="2255"/>
      <c r="H319" s="2255"/>
      <c r="I319" s="2255"/>
      <c r="J319" s="900"/>
    </row>
    <row r="320" spans="1:11" x14ac:dyDescent="0.35">
      <c r="A320" s="901"/>
      <c r="B320" s="1297" t="s">
        <v>125</v>
      </c>
      <c r="C320" s="2244" t="s">
        <v>2408</v>
      </c>
      <c r="D320" s="2244"/>
      <c r="E320" s="2244"/>
      <c r="F320" s="2244"/>
      <c r="G320" s="2244"/>
      <c r="H320" s="2244"/>
      <c r="I320" s="2244"/>
      <c r="J320" s="905"/>
    </row>
    <row r="321" spans="1:24" x14ac:dyDescent="0.35">
      <c r="A321" s="901"/>
      <c r="B321" s="1297" t="s">
        <v>126</v>
      </c>
      <c r="C321" s="2244" t="s">
        <v>2409</v>
      </c>
      <c r="D321" s="2244"/>
      <c r="E321" s="2244"/>
      <c r="F321" s="2244"/>
      <c r="G321" s="2244"/>
      <c r="H321" s="2244"/>
      <c r="I321" s="2244"/>
      <c r="J321" s="905"/>
    </row>
    <row r="322" spans="1:24" x14ac:dyDescent="0.35">
      <c r="A322" s="901"/>
      <c r="B322" s="1297" t="s">
        <v>162</v>
      </c>
      <c r="C322" s="2775"/>
      <c r="D322" s="2775"/>
      <c r="E322" s="2775"/>
      <c r="F322" s="2775"/>
      <c r="G322" s="2775"/>
      <c r="H322" s="2775"/>
      <c r="I322" s="2775"/>
      <c r="J322" s="905"/>
    </row>
    <row r="323" spans="1:24" x14ac:dyDescent="0.35">
      <c r="A323" s="901"/>
      <c r="B323" s="2558" t="s">
        <v>1994</v>
      </c>
      <c r="C323" s="2558"/>
      <c r="D323" s="2558"/>
      <c r="E323" s="2558"/>
      <c r="F323" s="2558"/>
      <c r="G323" s="2558"/>
      <c r="H323" s="2558"/>
      <c r="I323" s="2558"/>
      <c r="J323" s="905"/>
    </row>
    <row r="324" spans="1:24" x14ac:dyDescent="0.35">
      <c r="A324" s="901"/>
      <c r="B324" s="904"/>
      <c r="C324" s="904"/>
      <c r="D324" s="904"/>
      <c r="E324" s="904"/>
      <c r="F324" s="904"/>
      <c r="G324" s="904"/>
      <c r="H324" s="904"/>
      <c r="I324" s="904"/>
      <c r="J324" s="900"/>
    </row>
    <row r="325" spans="1:24" x14ac:dyDescent="0.35">
      <c r="A325" s="2508" t="str">
        <f>"Jalan, Irigasi dan Jaringan "&amp;TEXT($F$337,"Rp#.##0")</f>
        <v>Jalan, Irigasi dan Jaringan Rp29.536.650</v>
      </c>
      <c r="B325" s="911" t="s">
        <v>2245</v>
      </c>
      <c r="C325" s="738"/>
      <c r="D325" s="904"/>
      <c r="E325" s="904"/>
      <c r="F325" s="904"/>
      <c r="G325" s="904"/>
      <c r="H325" s="904"/>
      <c r="I325" s="904"/>
      <c r="J325" s="900"/>
    </row>
    <row r="326" spans="1:24" x14ac:dyDescent="0.35">
      <c r="A326" s="2508"/>
      <c r="B326" s="2193" t="str">
        <f>"Saldo Jalan, Irigasi, dan Jaringan per "&amp;Input!Q24&amp;" dan "&amp;Input!$T$25&amp;" masing-masing adalah sebesar "&amp;TEXT(Input!$I$683,"Rp#.##0")&amp;" dan "&amp;TEXT(Input!$K$683,"Rp#.##0")&amp;" . "&amp;IF(Input!$I$683=Input!$K$683,$N$330,IF(Input!$I$683&gt;Input!$K$683," Kenaikan nilai tersebut diakibatkan ",IF(Input!$I$683&lt;Input!$K$683," Penurunan nilai tersebut diakibatkan ")))&amp;IF(Input!$I$683=Input!$K$683,"",IF(Input!$I$683&gt;Input!$K$683,$N$339,IF(Input!$I$683&lt;Input!$K$683,$N$339)))</f>
        <v>Saldo Jalan, Irigasi, dan Jaringan per 31 Desember 2019 dan 31 Desember 2018 masing-masing adalah sebesar Rp29.536.650 dan Rp29.536.650 . Tidak terjadi perubahan nilai terhadap Jalan, Irigasi dan Jaringan selama tahun anggaran 2017.</v>
      </c>
      <c r="C326" s="2193"/>
      <c r="D326" s="2193"/>
      <c r="E326" s="2193"/>
      <c r="F326" s="2193"/>
      <c r="G326" s="2193"/>
      <c r="H326" s="2193"/>
      <c r="I326" s="2193"/>
      <c r="J326" s="905"/>
      <c r="L326" s="2660" t="s">
        <v>1774</v>
      </c>
      <c r="M326" s="2660"/>
      <c r="N326" s="2660"/>
      <c r="O326" s="2660"/>
      <c r="P326" s="2660"/>
      <c r="Q326" s="2660"/>
      <c r="R326" s="2660"/>
      <c r="S326" s="2660"/>
      <c r="T326" s="2660"/>
      <c r="U326" s="2660"/>
      <c r="V326" s="2660"/>
      <c r="W326" s="2660"/>
      <c r="X326" s="2660"/>
    </row>
    <row r="327" spans="1:24" s="468" customFormat="1" x14ac:dyDescent="0.35">
      <c r="A327" s="2362"/>
      <c r="B327" s="2193"/>
      <c r="C327" s="2193"/>
      <c r="D327" s="2193"/>
      <c r="E327" s="2193"/>
      <c r="F327" s="2193"/>
      <c r="G327" s="2193"/>
      <c r="H327" s="2193"/>
      <c r="I327" s="2193"/>
      <c r="J327" s="905"/>
      <c r="K327" s="544"/>
      <c r="L327" s="848"/>
      <c r="M327" s="848"/>
      <c r="N327" s="848"/>
      <c r="O327" s="848"/>
      <c r="P327" s="848"/>
      <c r="Q327" s="848"/>
      <c r="R327" s="848"/>
      <c r="S327" s="848"/>
      <c r="T327" s="848"/>
      <c r="U327" s="848"/>
      <c r="V327" s="848"/>
      <c r="W327" s="848"/>
      <c r="X327" s="848"/>
    </row>
    <row r="328" spans="1:24" s="468" customFormat="1" x14ac:dyDescent="0.35">
      <c r="A328" s="977"/>
      <c r="B328" s="2193"/>
      <c r="C328" s="2193"/>
      <c r="D328" s="2193"/>
      <c r="E328" s="2193"/>
      <c r="F328" s="2193"/>
      <c r="G328" s="2193"/>
      <c r="H328" s="2193"/>
      <c r="I328" s="2193"/>
      <c r="J328" s="905"/>
      <c r="K328" s="544"/>
      <c r="L328" s="848"/>
      <c r="M328" s="848"/>
      <c r="N328" s="848"/>
      <c r="O328" s="848"/>
      <c r="P328" s="848"/>
      <c r="Q328" s="848"/>
      <c r="R328" s="848"/>
      <c r="S328" s="848"/>
      <c r="T328" s="848"/>
      <c r="U328" s="848"/>
      <c r="V328" s="848"/>
      <c r="W328" s="848"/>
      <c r="X328" s="848"/>
    </row>
    <row r="329" spans="1:24" s="468" customFormat="1" x14ac:dyDescent="0.35">
      <c r="A329" s="912"/>
      <c r="B329" s="2118"/>
      <c r="C329" s="2118"/>
      <c r="D329" s="2118"/>
      <c r="E329" s="2118"/>
      <c r="F329" s="2118"/>
      <c r="G329" s="2118"/>
      <c r="H329" s="2118"/>
      <c r="I329" s="2118"/>
      <c r="J329" s="905"/>
      <c r="K329" s="544"/>
      <c r="L329" s="848"/>
      <c r="M329" s="848"/>
      <c r="N329" s="848"/>
      <c r="O329" s="848"/>
      <c r="P329" s="848"/>
      <c r="Q329" s="848"/>
      <c r="R329" s="848"/>
      <c r="S329" s="848"/>
      <c r="T329" s="848"/>
      <c r="U329" s="848"/>
      <c r="V329" s="848"/>
      <c r="W329" s="848"/>
      <c r="X329" s="848"/>
    </row>
    <row r="330" spans="1:24" s="266" customFormat="1" ht="26.25" customHeight="1" x14ac:dyDescent="0.35">
      <c r="A330" s="912"/>
      <c r="B330" s="2548" t="s">
        <v>1775</v>
      </c>
      <c r="C330" s="2548"/>
      <c r="D330" s="2548"/>
      <c r="E330" s="2548"/>
      <c r="F330" s="2548"/>
      <c r="G330" s="2548"/>
      <c r="H330" s="2548"/>
      <c r="I330" s="2548"/>
      <c r="J330" s="905"/>
      <c r="K330" s="267"/>
      <c r="L330" s="1003" t="s">
        <v>1123</v>
      </c>
      <c r="M330" s="1004" t="s">
        <v>8</v>
      </c>
      <c r="N330" s="2383" t="s">
        <v>2323</v>
      </c>
      <c r="O330" s="2384"/>
      <c r="P330" s="2384"/>
      <c r="Q330" s="2384"/>
      <c r="R330" s="2384"/>
      <c r="S330" s="2384"/>
      <c r="T330" s="2384"/>
      <c r="U330" s="2384"/>
      <c r="V330" s="2384"/>
      <c r="W330" s="2384"/>
      <c r="X330" s="2385"/>
    </row>
    <row r="331" spans="1:24" s="426" customFormat="1" ht="17.25" customHeight="1" x14ac:dyDescent="0.35">
      <c r="A331" s="912"/>
      <c r="B331" s="2657" t="str">
        <f>"Saldo Nilai Perolehan per "&amp;Input!$T$25&amp;""</f>
        <v>Saldo Nilai Perolehan per 31 Desember 2018</v>
      </c>
      <c r="C331" s="2658"/>
      <c r="D331" s="2658"/>
      <c r="E331" s="2659"/>
      <c r="F331" s="2505">
        <f>Input!K623+Input!S623+Input!V623</f>
        <v>29536650</v>
      </c>
      <c r="G331" s="2505"/>
      <c r="H331" s="2505"/>
      <c r="I331" s="2505"/>
      <c r="J331" s="905"/>
      <c r="K331" s="425"/>
      <c r="L331" s="1005"/>
      <c r="M331" s="1006"/>
      <c r="N331" s="1007"/>
      <c r="O331" s="1008"/>
      <c r="P331" s="1008"/>
      <c r="Q331" s="1008"/>
      <c r="R331" s="1008"/>
      <c r="S331" s="1008"/>
      <c r="T331" s="1008"/>
      <c r="U331" s="1008"/>
      <c r="V331" s="1008"/>
      <c r="W331" s="1008"/>
      <c r="X331" s="1009"/>
    </row>
    <row r="332" spans="1:24" s="426" customFormat="1" ht="17.25" customHeight="1" x14ac:dyDescent="0.35">
      <c r="A332" s="912"/>
      <c r="B332" s="2507" t="s">
        <v>1770</v>
      </c>
      <c r="C332" s="2507"/>
      <c r="D332" s="2507"/>
      <c r="E332" s="2507"/>
      <c r="F332" s="2645">
        <f>SUM(B333)</f>
        <v>0</v>
      </c>
      <c r="G332" s="2645"/>
      <c r="H332" s="2645"/>
      <c r="I332" s="2645"/>
      <c r="J332" s="905"/>
      <c r="K332" s="425"/>
      <c r="L332" s="1005"/>
      <c r="M332" s="1006"/>
      <c r="N332" s="1007"/>
      <c r="O332" s="1008"/>
      <c r="P332" s="1008"/>
      <c r="Q332" s="1008"/>
      <c r="R332" s="1008"/>
      <c r="S332" s="1008"/>
      <c r="T332" s="1008"/>
      <c r="U332" s="1008"/>
      <c r="V332" s="1008"/>
      <c r="W332" s="1008"/>
      <c r="X332" s="1009"/>
    </row>
    <row r="333" spans="1:24" s="426" customFormat="1" ht="17.25" customHeight="1" x14ac:dyDescent="0.35">
      <c r="A333" s="912"/>
      <c r="B333" s="2507" t="s">
        <v>1776</v>
      </c>
      <c r="C333" s="2507"/>
      <c r="D333" s="2507"/>
      <c r="E333" s="2507"/>
      <c r="F333" s="2645">
        <v>0</v>
      </c>
      <c r="G333" s="2645"/>
      <c r="H333" s="2645"/>
      <c r="I333" s="2645"/>
      <c r="J333" s="905"/>
      <c r="K333" s="425"/>
      <c r="L333" s="1005"/>
      <c r="M333" s="1006"/>
      <c r="N333" s="1007"/>
      <c r="O333" s="1008"/>
      <c r="P333" s="1008"/>
      <c r="Q333" s="1008"/>
      <c r="R333" s="1008"/>
      <c r="S333" s="1008"/>
      <c r="T333" s="1008"/>
      <c r="U333" s="1008"/>
      <c r="V333" s="1008"/>
      <c r="W333" s="1008"/>
      <c r="X333" s="1009"/>
    </row>
    <row r="334" spans="1:24" s="426" customFormat="1" ht="17.25" customHeight="1" x14ac:dyDescent="0.35">
      <c r="A334" s="912"/>
      <c r="B334" s="2507" t="s">
        <v>1771</v>
      </c>
      <c r="C334" s="2507"/>
      <c r="D334" s="2507"/>
      <c r="E334" s="2507"/>
      <c r="F334" s="2645">
        <f>Input!K640+Input!S640+Input!V640</f>
        <v>0</v>
      </c>
      <c r="G334" s="2645"/>
      <c r="H334" s="2645"/>
      <c r="I334" s="2645"/>
      <c r="J334" s="905"/>
      <c r="K334" s="425"/>
      <c r="L334" s="1005"/>
      <c r="M334" s="1006"/>
      <c r="N334" s="1007"/>
      <c r="O334" s="1008"/>
      <c r="P334" s="1008"/>
      <c r="Q334" s="1008"/>
      <c r="R334" s="1008"/>
      <c r="S334" s="1008"/>
      <c r="T334" s="1008"/>
      <c r="U334" s="1008"/>
      <c r="V334" s="1008"/>
      <c r="W334" s="1008"/>
      <c r="X334" s="1009"/>
    </row>
    <row r="335" spans="1:24" s="426" customFormat="1" ht="17.25" customHeight="1" x14ac:dyDescent="0.35">
      <c r="A335" s="912"/>
      <c r="B335" s="2698" t="str">
        <f>"Saldo per "&amp;Input!Q24&amp;" "</f>
        <v xml:space="preserve">Saldo per 31 Desember 2019 </v>
      </c>
      <c r="C335" s="2698"/>
      <c r="D335" s="2698"/>
      <c r="E335" s="2698"/>
      <c r="F335" s="2494">
        <f>((F331+F332)+F334)</f>
        <v>29536650</v>
      </c>
      <c r="G335" s="2494"/>
      <c r="H335" s="2494"/>
      <c r="I335" s="2494"/>
      <c r="J335" s="905"/>
      <c r="K335" s="425"/>
      <c r="L335" s="1005"/>
      <c r="M335" s="1006"/>
      <c r="N335" s="1007"/>
      <c r="O335" s="1008"/>
      <c r="P335" s="1008"/>
      <c r="Q335" s="1008"/>
      <c r="R335" s="1008"/>
      <c r="S335" s="1008"/>
      <c r="T335" s="1008"/>
      <c r="U335" s="1008"/>
      <c r="V335" s="1008"/>
      <c r="W335" s="1008"/>
      <c r="X335" s="1009"/>
    </row>
    <row r="336" spans="1:24" s="426" customFormat="1" ht="17.25" customHeight="1" x14ac:dyDescent="0.35">
      <c r="A336" s="912"/>
      <c r="B336" s="2495" t="str">
        <f>"Akumulasi Penyusutan s.d. "&amp;Input!$Q$24&amp;" "</f>
        <v xml:space="preserve">Akumulasi Penyusutan s.d. 31 Desember 2019 </v>
      </c>
      <c r="C336" s="2496"/>
      <c r="D336" s="2496"/>
      <c r="E336" s="2497"/>
      <c r="F336" s="2498">
        <v>0</v>
      </c>
      <c r="G336" s="2499"/>
      <c r="H336" s="2499"/>
      <c r="I336" s="2500"/>
      <c r="J336" s="905"/>
      <c r="K336" s="425"/>
      <c r="L336" s="1005"/>
      <c r="M336" s="1006"/>
      <c r="N336" s="1007"/>
      <c r="O336" s="1008"/>
      <c r="P336" s="1008"/>
      <c r="Q336" s="1008"/>
      <c r="R336" s="1008"/>
      <c r="S336" s="1008"/>
      <c r="T336" s="1008"/>
      <c r="U336" s="1008"/>
      <c r="V336" s="1008"/>
      <c r="W336" s="1008"/>
      <c r="X336" s="1009"/>
    </row>
    <row r="337" spans="1:24" s="426" customFormat="1" ht="17.25" customHeight="1" x14ac:dyDescent="0.35">
      <c r="A337" s="912"/>
      <c r="B337" s="2501" t="str">
        <f>"Nilai Buku per "&amp;Input!Q24&amp;" "</f>
        <v xml:space="preserve">Nilai Buku per 31 Desember 2019 </v>
      </c>
      <c r="C337" s="2501"/>
      <c r="D337" s="2501"/>
      <c r="E337" s="2501"/>
      <c r="F337" s="2494">
        <f>F335+F336</f>
        <v>29536650</v>
      </c>
      <c r="G337" s="2494"/>
      <c r="H337" s="2494"/>
      <c r="I337" s="2494"/>
      <c r="J337" s="905"/>
      <c r="K337" s="425"/>
      <c r="L337" s="1005"/>
      <c r="M337" s="1006"/>
      <c r="N337" s="1007"/>
      <c r="O337" s="1008"/>
      <c r="P337" s="1008"/>
      <c r="Q337" s="1008"/>
      <c r="R337" s="1008"/>
      <c r="S337" s="1008"/>
      <c r="T337" s="1008"/>
      <c r="U337" s="1008"/>
      <c r="V337" s="1008"/>
      <c r="W337" s="1008"/>
      <c r="X337" s="1009"/>
    </row>
    <row r="338" spans="1:24" s="426" customFormat="1" ht="9.75" customHeight="1" x14ac:dyDescent="0.35">
      <c r="A338" s="912"/>
      <c r="B338" s="819"/>
      <c r="C338" s="819"/>
      <c r="D338" s="819"/>
      <c r="E338" s="819"/>
      <c r="F338" s="819"/>
      <c r="G338" s="819"/>
      <c r="H338" s="819"/>
      <c r="I338" s="819"/>
      <c r="J338" s="905"/>
      <c r="K338" s="425"/>
      <c r="L338" s="1003"/>
      <c r="M338" s="1004"/>
      <c r="N338" s="1010"/>
      <c r="O338" s="1011"/>
      <c r="P338" s="1011"/>
      <c r="Q338" s="1011"/>
      <c r="R338" s="1011"/>
      <c r="S338" s="1011"/>
      <c r="T338" s="1011"/>
      <c r="U338" s="1011"/>
      <c r="V338" s="1011"/>
      <c r="W338" s="1011"/>
      <c r="X338" s="1012"/>
    </row>
    <row r="339" spans="1:24" s="266" customFormat="1" ht="17.25" customHeight="1" x14ac:dyDescent="0.35">
      <c r="A339" s="912"/>
      <c r="B339" s="2255" t="s">
        <v>1777</v>
      </c>
      <c r="C339" s="2255"/>
      <c r="D339" s="2255"/>
      <c r="E339" s="2255"/>
      <c r="F339" s="2255"/>
      <c r="G339" s="2255"/>
      <c r="H339" s="2255"/>
      <c r="I339" s="2255"/>
      <c r="J339" s="905"/>
      <c r="K339" s="267"/>
      <c r="L339" s="2679" t="s">
        <v>1131</v>
      </c>
      <c r="M339" s="2682" t="s">
        <v>8</v>
      </c>
      <c r="N339" s="2685" t="s">
        <v>2410</v>
      </c>
      <c r="O339" s="2686"/>
      <c r="P339" s="2686"/>
      <c r="Q339" s="2686"/>
      <c r="R339" s="2686"/>
      <c r="S339" s="2686"/>
      <c r="T339" s="2686"/>
      <c r="U339" s="2686"/>
      <c r="V339" s="2686"/>
      <c r="W339" s="2686"/>
      <c r="X339" s="2687"/>
    </row>
    <row r="340" spans="1:24" s="266" customFormat="1" ht="17.25" customHeight="1" x14ac:dyDescent="0.35">
      <c r="A340" s="912"/>
      <c r="B340" s="2118"/>
      <c r="C340" s="2118"/>
      <c r="D340" s="2118"/>
      <c r="E340" s="2118"/>
      <c r="F340" s="2118"/>
      <c r="G340" s="2118"/>
      <c r="H340" s="2118"/>
      <c r="I340" s="2118"/>
      <c r="J340" s="905"/>
      <c r="K340" s="267"/>
      <c r="L340" s="2680"/>
      <c r="M340" s="2683"/>
      <c r="N340" s="2688"/>
      <c r="O340" s="2689"/>
      <c r="P340" s="2689"/>
      <c r="Q340" s="2689"/>
      <c r="R340" s="2689"/>
      <c r="S340" s="2689"/>
      <c r="T340" s="2689"/>
      <c r="U340" s="2689"/>
      <c r="V340" s="2689"/>
      <c r="W340" s="2689"/>
      <c r="X340" s="2690"/>
    </row>
    <row r="341" spans="1:24" s="273" customFormat="1" ht="17.25" customHeight="1" x14ac:dyDescent="0.35">
      <c r="A341" s="912"/>
      <c r="B341" s="965"/>
      <c r="C341" s="965"/>
      <c r="D341" s="965"/>
      <c r="E341" s="965"/>
      <c r="F341" s="965"/>
      <c r="G341" s="965"/>
      <c r="H341" s="965"/>
      <c r="I341" s="965"/>
      <c r="J341" s="905"/>
      <c r="K341" s="274"/>
      <c r="L341" s="2680"/>
      <c r="M341" s="2683"/>
      <c r="N341" s="2688"/>
      <c r="O341" s="2689"/>
      <c r="P341" s="2689"/>
      <c r="Q341" s="2689"/>
      <c r="R341" s="2689"/>
      <c r="S341" s="2689"/>
      <c r="T341" s="2689"/>
      <c r="U341" s="2689"/>
      <c r="V341" s="2689"/>
      <c r="W341" s="2689"/>
      <c r="X341" s="2690"/>
    </row>
    <row r="342" spans="1:24" ht="9" customHeight="1" x14ac:dyDescent="0.35">
      <c r="A342" s="901"/>
      <c r="B342" s="904"/>
      <c r="C342" s="904"/>
      <c r="D342" s="904"/>
      <c r="E342" s="904"/>
      <c r="F342" s="904"/>
      <c r="G342" s="904"/>
      <c r="H342" s="904"/>
      <c r="I342" s="904"/>
      <c r="J342" s="900"/>
      <c r="L342" s="2681"/>
      <c r="M342" s="2684"/>
      <c r="N342" s="2691"/>
      <c r="O342" s="2692"/>
      <c r="P342" s="2692"/>
      <c r="Q342" s="2692"/>
      <c r="R342" s="2692"/>
      <c r="S342" s="2692"/>
      <c r="T342" s="2692"/>
      <c r="U342" s="2692"/>
      <c r="V342" s="2692"/>
      <c r="W342" s="2692"/>
      <c r="X342" s="2693"/>
    </row>
    <row r="343" spans="1:24" ht="15.75" customHeight="1" x14ac:dyDescent="0.35">
      <c r="A343" s="2508" t="str">
        <f>"Aset Tetap Lainnya  "&amp;TEXT(Input!$I$684,"Rp#.##0")</f>
        <v>Aset Tetap Lainnya  Rp339.285.000</v>
      </c>
      <c r="B343" s="911" t="s">
        <v>2246</v>
      </c>
      <c r="C343" s="738"/>
      <c r="D343" s="904"/>
      <c r="E343" s="904"/>
      <c r="F343" s="904"/>
      <c r="G343" s="904"/>
      <c r="H343" s="904"/>
      <c r="I343" s="904"/>
      <c r="J343" s="900"/>
    </row>
    <row r="344" spans="1:24" x14ac:dyDescent="0.35">
      <c r="A344" s="2508"/>
      <c r="B344" s="2192" t="str">
        <f>"Aset Tetap Lainnya merupakan aset tetap yang tidak dapat dikelompokkan dalam tanah, peralatan dan mesin, gedung dan bangunan, jalan, irigasi dan jaringan. Saldo Aset Tetap Lainnya per "&amp;Input!Q24&amp;" dan  "&amp;Input!$T$25&amp;"  adalah  "&amp;TEXT(Input!$I$684,"Rp#.##0")&amp;" dan "&amp;TEXT(Input!$K$684,"Rp#.##0")&amp;"."</f>
        <v>Aset Tetap Lainnya merupakan aset tetap yang tidak dapat dikelompokkan dalam tanah, peralatan dan mesin, gedung dan bangunan, jalan, irigasi dan jaringan. Saldo Aset Tetap Lainnya per 31 Desember 2019 dan  31 Desember 2018  adalah  Rp339.285.000 dan Rp335.909.500.</v>
      </c>
      <c r="C344" s="2192"/>
      <c r="D344" s="2192"/>
      <c r="E344" s="2192"/>
      <c r="F344" s="2192"/>
      <c r="G344" s="2192"/>
      <c r="H344" s="2192"/>
      <c r="I344" s="2192"/>
      <c r="J344" s="905"/>
      <c r="L344" s="468"/>
      <c r="M344" s="468"/>
      <c r="N344" s="468"/>
      <c r="O344" s="468"/>
      <c r="P344" s="468"/>
      <c r="Q344" s="468"/>
      <c r="R344" s="468"/>
      <c r="S344" s="468"/>
      <c r="T344" s="468"/>
      <c r="U344" s="468"/>
      <c r="V344" s="468"/>
      <c r="W344" s="468"/>
      <c r="X344" s="468"/>
    </row>
    <row r="345" spans="1:24" s="468" customFormat="1" x14ac:dyDescent="0.35">
      <c r="A345" s="2508"/>
      <c r="B345" s="2192"/>
      <c r="C345" s="2192"/>
      <c r="D345" s="2192"/>
      <c r="E345" s="2192"/>
      <c r="F345" s="2192"/>
      <c r="G345" s="2192"/>
      <c r="H345" s="2192"/>
      <c r="I345" s="2192"/>
      <c r="J345" s="905"/>
      <c r="K345" s="544"/>
    </row>
    <row r="346" spans="1:24" s="468" customFormat="1" x14ac:dyDescent="0.35">
      <c r="A346" s="912"/>
      <c r="B346" s="2118"/>
      <c r="C346" s="2118"/>
      <c r="D346" s="2118"/>
      <c r="E346" s="2118"/>
      <c r="F346" s="2118"/>
      <c r="G346" s="2118"/>
      <c r="H346" s="2118"/>
      <c r="I346" s="2118"/>
      <c r="J346" s="905"/>
      <c r="K346" s="544"/>
    </row>
    <row r="347" spans="1:24" x14ac:dyDescent="0.35">
      <c r="A347" s="1095"/>
      <c r="B347" s="2773" t="str">
        <f>""&amp;IF(Input!$I$684=Input!$K$684,$N$350,IF(Input!$I$684&gt;Input!$K$684,"Kenaikan nilai tersebut diakibatkan ",IF(Input!$I$684&lt;Input!$K$684," Penurunan nilai tersebut diakibatkan ")))&amp;IF(Input!$I$684=Input!$K$684,"",IF(Input!$I$684&gt;Input!$K$684,$N$352,IF(Input!$I$684&lt;Input!$K$684,$N$352)))</f>
        <v>Kenaikan nilai tersebut diakibatkan karena adanya pembelian barang bercorak budaya berupa kain songket dari Prov. NTT dan Bali yang menjadi aset tetap lainnya</v>
      </c>
      <c r="C347" s="2773"/>
      <c r="D347" s="2773"/>
      <c r="E347" s="2773"/>
      <c r="F347" s="2773"/>
      <c r="G347" s="2773"/>
      <c r="H347" s="2773"/>
      <c r="I347" s="2773"/>
      <c r="J347" s="905"/>
      <c r="L347" s="1093"/>
      <c r="M347" s="1092"/>
      <c r="N347" s="1092"/>
      <c r="O347" s="1092"/>
      <c r="P347" s="1092"/>
      <c r="Q347" s="1092"/>
      <c r="R347" s="1092"/>
      <c r="S347" s="1092"/>
      <c r="T347" s="468"/>
      <c r="U347" s="468"/>
      <c r="V347" s="468"/>
      <c r="W347" s="468"/>
      <c r="X347" s="468"/>
    </row>
    <row r="348" spans="1:24" s="468" customFormat="1" ht="17.25" customHeight="1" x14ac:dyDescent="0.35">
      <c r="A348" s="1095"/>
      <c r="B348" s="2774"/>
      <c r="C348" s="2774"/>
      <c r="D348" s="2774"/>
      <c r="E348" s="2774"/>
      <c r="F348" s="2774"/>
      <c r="G348" s="2774"/>
      <c r="H348" s="2774"/>
      <c r="I348" s="2774"/>
      <c r="J348" s="1058"/>
      <c r="K348" s="544"/>
      <c r="L348" s="1094" t="s">
        <v>2033</v>
      </c>
      <c r="M348" s="1092"/>
      <c r="N348" s="1092"/>
      <c r="O348" s="1092"/>
      <c r="P348" s="1092"/>
      <c r="Q348" s="1092"/>
      <c r="R348" s="1092"/>
      <c r="S348" s="1092"/>
    </row>
    <row r="349" spans="1:24" s="468" customFormat="1" ht="15.75" customHeight="1" x14ac:dyDescent="0.35">
      <c r="A349" s="1095"/>
      <c r="B349" s="2699" t="s">
        <v>2158</v>
      </c>
      <c r="C349" s="2699"/>
      <c r="D349" s="2699"/>
      <c r="E349" s="2699"/>
      <c r="F349" s="2699"/>
      <c r="G349" s="2699"/>
      <c r="H349" s="2699"/>
      <c r="I349" s="2699"/>
      <c r="J349" s="1322"/>
      <c r="K349" s="544"/>
      <c r="L349" s="1094"/>
      <c r="M349" s="1092"/>
      <c r="N349" s="1092"/>
      <c r="O349" s="1092"/>
      <c r="P349" s="1092"/>
      <c r="Q349" s="1092"/>
      <c r="R349" s="1092"/>
      <c r="S349" s="1092"/>
    </row>
    <row r="350" spans="1:24" s="468" customFormat="1" ht="15.75" customHeight="1" x14ac:dyDescent="0.35">
      <c r="A350" s="1095"/>
      <c r="B350" s="2657" t="str">
        <f>"Saldo Nilai Perolehan per "&amp;Input!$T$25&amp;""</f>
        <v>Saldo Nilai Perolehan per 31 Desember 2018</v>
      </c>
      <c r="C350" s="2658"/>
      <c r="D350" s="2658"/>
      <c r="E350" s="2659"/>
      <c r="F350" s="2505">
        <f>Input!P623</f>
        <v>335909500</v>
      </c>
      <c r="G350" s="2505"/>
      <c r="H350" s="2505"/>
      <c r="I350" s="2505"/>
      <c r="J350" s="1322"/>
      <c r="K350" s="544"/>
      <c r="L350" s="1003" t="s">
        <v>1123</v>
      </c>
      <c r="M350" s="1004" t="s">
        <v>8</v>
      </c>
      <c r="N350" s="2383" t="s">
        <v>2324</v>
      </c>
      <c r="O350" s="2384"/>
      <c r="P350" s="2384"/>
      <c r="Q350" s="2384"/>
      <c r="R350" s="2384"/>
      <c r="S350" s="2384"/>
      <c r="T350" s="2384"/>
      <c r="U350" s="2384"/>
      <c r="V350" s="2384"/>
      <c r="W350" s="2384"/>
      <c r="X350" s="2385"/>
    </row>
    <row r="351" spans="1:24" s="468" customFormat="1" ht="15.75" customHeight="1" x14ac:dyDescent="0.35">
      <c r="A351" s="1095"/>
      <c r="B351" s="2507" t="s">
        <v>1770</v>
      </c>
      <c r="C351" s="2507"/>
      <c r="D351" s="2507"/>
      <c r="E351" s="2507"/>
      <c r="F351" s="2645">
        <f>SUM(F352:I354)</f>
        <v>3375500</v>
      </c>
      <c r="G351" s="2645"/>
      <c r="H351" s="2645"/>
      <c r="I351" s="2645"/>
      <c r="J351" s="1322"/>
      <c r="K351" s="544"/>
      <c r="L351" s="1005"/>
      <c r="M351" s="1006"/>
      <c r="N351" s="1007"/>
      <c r="O351" s="1008"/>
      <c r="P351" s="1008"/>
      <c r="Q351" s="1008"/>
      <c r="R351" s="1008"/>
      <c r="S351" s="1008"/>
      <c r="T351" s="1008"/>
      <c r="U351" s="1008"/>
      <c r="V351" s="1008"/>
      <c r="W351" s="1008"/>
      <c r="X351" s="1009"/>
    </row>
    <row r="352" spans="1:24" s="468" customFormat="1" ht="15.75" customHeight="1" x14ac:dyDescent="0.35">
      <c r="A352" s="1095"/>
      <c r="B352" s="2507" t="s">
        <v>305</v>
      </c>
      <c r="C352" s="2507"/>
      <c r="D352" s="2507"/>
      <c r="E352" s="2507"/>
      <c r="F352" s="2645">
        <f>Input!P626</f>
        <v>3375500</v>
      </c>
      <c r="G352" s="2645"/>
      <c r="H352" s="2645"/>
      <c r="I352" s="2645"/>
      <c r="J352" s="1322"/>
      <c r="K352" s="544"/>
      <c r="L352" s="2679" t="s">
        <v>1131</v>
      </c>
      <c r="M352" s="2682" t="s">
        <v>8</v>
      </c>
      <c r="N352" s="2685" t="s">
        <v>2411</v>
      </c>
      <c r="O352" s="2686"/>
      <c r="P352" s="2686"/>
      <c r="Q352" s="2686"/>
      <c r="R352" s="2686"/>
      <c r="S352" s="2686"/>
      <c r="T352" s="2686"/>
      <c r="U352" s="2686"/>
      <c r="V352" s="2686"/>
      <c r="W352" s="2686"/>
      <c r="X352" s="2687"/>
    </row>
    <row r="353" spans="1:24" s="468" customFormat="1" ht="15.75" customHeight="1" x14ac:dyDescent="0.35">
      <c r="A353" s="1095"/>
      <c r="B353" s="2507" t="s">
        <v>2161</v>
      </c>
      <c r="C353" s="2507"/>
      <c r="D353" s="2507"/>
      <c r="E353" s="2507"/>
      <c r="F353" s="2645">
        <f>Input!P627</f>
        <v>0</v>
      </c>
      <c r="G353" s="2645"/>
      <c r="H353" s="2645"/>
      <c r="I353" s="2645"/>
      <c r="J353" s="1322"/>
      <c r="K353" s="544"/>
      <c r="L353" s="2680"/>
      <c r="M353" s="2683"/>
      <c r="N353" s="2688"/>
      <c r="O353" s="2689"/>
      <c r="P353" s="2689"/>
      <c r="Q353" s="2689"/>
      <c r="R353" s="2689"/>
      <c r="S353" s="2689"/>
      <c r="T353" s="2689"/>
      <c r="U353" s="2689"/>
      <c r="V353" s="2689"/>
      <c r="W353" s="2689"/>
      <c r="X353" s="2690"/>
    </row>
    <row r="354" spans="1:24" s="468" customFormat="1" ht="15.75" customHeight="1" x14ac:dyDescent="0.35">
      <c r="A354" s="1095"/>
      <c r="B354" s="2507" t="s">
        <v>2162</v>
      </c>
      <c r="C354" s="2507"/>
      <c r="D354" s="2507"/>
      <c r="E354" s="2507"/>
      <c r="F354" s="2645">
        <f>Input!P629</f>
        <v>0</v>
      </c>
      <c r="G354" s="2645"/>
      <c r="H354" s="2645"/>
      <c r="I354" s="2645"/>
      <c r="J354" s="1322"/>
      <c r="K354" s="544"/>
      <c r="L354" s="2680"/>
      <c r="M354" s="2683"/>
      <c r="N354" s="2688"/>
      <c r="O354" s="2689"/>
      <c r="P354" s="2689"/>
      <c r="Q354" s="2689"/>
      <c r="R354" s="2689"/>
      <c r="S354" s="2689"/>
      <c r="T354" s="2689"/>
      <c r="U354" s="2689"/>
      <c r="V354" s="2689"/>
      <c r="W354" s="2689"/>
      <c r="X354" s="2690"/>
    </row>
    <row r="355" spans="1:24" s="468" customFormat="1" ht="15.75" customHeight="1" x14ac:dyDescent="0.35">
      <c r="A355" s="1095"/>
      <c r="B355" s="2507" t="s">
        <v>1771</v>
      </c>
      <c r="C355" s="2507"/>
      <c r="D355" s="2507"/>
      <c r="E355" s="2507"/>
      <c r="F355" s="2645">
        <f>SUM(F356:I357)</f>
        <v>0</v>
      </c>
      <c r="G355" s="2645"/>
      <c r="H355" s="2645"/>
      <c r="I355" s="2645"/>
      <c r="J355" s="1322"/>
      <c r="K355" s="544"/>
      <c r="L355" s="2681"/>
      <c r="M355" s="2684"/>
      <c r="N355" s="2691"/>
      <c r="O355" s="2692"/>
      <c r="P355" s="2692"/>
      <c r="Q355" s="2692"/>
      <c r="R355" s="2692"/>
      <c r="S355" s="2692"/>
      <c r="T355" s="2692"/>
      <c r="U355" s="2692"/>
      <c r="V355" s="2692"/>
      <c r="W355" s="2692"/>
      <c r="X355" s="2693"/>
    </row>
    <row r="356" spans="1:24" s="468" customFormat="1" ht="15.75" customHeight="1" x14ac:dyDescent="0.35">
      <c r="A356" s="1095"/>
      <c r="B356" s="2507" t="s">
        <v>2159</v>
      </c>
      <c r="C356" s="2507"/>
      <c r="D356" s="2507"/>
      <c r="E356" s="2507"/>
      <c r="F356" s="2645">
        <v>0</v>
      </c>
      <c r="G356" s="2645"/>
      <c r="H356" s="2645"/>
      <c r="I356" s="2645"/>
      <c r="J356" s="1322"/>
      <c r="K356" s="544"/>
    </row>
    <row r="357" spans="1:24" s="468" customFormat="1" ht="15.75" customHeight="1" x14ac:dyDescent="0.35">
      <c r="A357" s="1095"/>
      <c r="B357" s="2507" t="s">
        <v>2160</v>
      </c>
      <c r="C357" s="2507"/>
      <c r="D357" s="2507"/>
      <c r="E357" s="2507"/>
      <c r="F357" s="2645">
        <f>Input!P635</f>
        <v>0</v>
      </c>
      <c r="G357" s="2645"/>
      <c r="H357" s="2645"/>
      <c r="I357" s="2645"/>
      <c r="J357" s="1322"/>
      <c r="K357" s="544"/>
    </row>
    <row r="358" spans="1:24" s="468" customFormat="1" ht="15.75" customHeight="1" x14ac:dyDescent="0.35">
      <c r="A358" s="1095"/>
      <c r="B358" s="2698" t="str">
        <f>"Saldo per "&amp;Input!Q24&amp;" "</f>
        <v xml:space="preserve">Saldo per 31 Desember 2019 </v>
      </c>
      <c r="C358" s="2698"/>
      <c r="D358" s="2698"/>
      <c r="E358" s="2698"/>
      <c r="F358" s="2494">
        <f>(F350+(F351-F355))</f>
        <v>339285000</v>
      </c>
      <c r="G358" s="2494"/>
      <c r="H358" s="2494"/>
      <c r="I358" s="2494"/>
      <c r="J358" s="1322"/>
      <c r="K358" s="544"/>
    </row>
    <row r="359" spans="1:24" s="468" customFormat="1" ht="15.75" customHeight="1" x14ac:dyDescent="0.35">
      <c r="A359" s="1095"/>
      <c r="B359" s="2495" t="str">
        <f>"Akumulasi Penyusutan s.d. "&amp;Input!$Q$24&amp;" "</f>
        <v xml:space="preserve">Akumulasi Penyusutan s.d. 31 Desember 2019 </v>
      </c>
      <c r="C359" s="2496"/>
      <c r="D359" s="2496"/>
      <c r="E359" s="2497"/>
      <c r="F359" s="2498">
        <v>0</v>
      </c>
      <c r="G359" s="2499"/>
      <c r="H359" s="2499"/>
      <c r="I359" s="2500"/>
      <c r="J359" s="1322"/>
      <c r="K359" s="544"/>
      <c r="L359"/>
      <c r="M359"/>
      <c r="N359"/>
      <c r="O359"/>
      <c r="P359"/>
      <c r="Q359"/>
      <c r="R359"/>
      <c r="S359"/>
      <c r="T359"/>
      <c r="U359"/>
      <c r="V359"/>
      <c r="W359"/>
      <c r="X359"/>
    </row>
    <row r="360" spans="1:24" s="468" customFormat="1" ht="15.75" customHeight="1" x14ac:dyDescent="0.35">
      <c r="A360" s="1095"/>
      <c r="B360" s="2501" t="str">
        <f>"Nilai Buku per "&amp;Input!Q24&amp;" "</f>
        <v xml:space="preserve">Nilai Buku per 31 Desember 2019 </v>
      </c>
      <c r="C360" s="2501"/>
      <c r="D360" s="2501"/>
      <c r="E360" s="2501"/>
      <c r="F360" s="2494">
        <f>F358+F359</f>
        <v>339285000</v>
      </c>
      <c r="G360" s="2494"/>
      <c r="H360" s="2494"/>
      <c r="I360" s="2494"/>
      <c r="J360" s="1322"/>
      <c r="K360" s="544"/>
      <c r="L360" s="266"/>
      <c r="M360" s="266"/>
      <c r="N360" s="266"/>
      <c r="O360" s="266"/>
      <c r="P360" s="266"/>
      <c r="Q360" s="266"/>
      <c r="R360" s="266"/>
      <c r="S360" s="266"/>
      <c r="T360" s="266"/>
      <c r="U360" s="266"/>
      <c r="V360" s="266"/>
      <c r="W360" s="266"/>
      <c r="X360" s="266"/>
    </row>
    <row r="361" spans="1:24" s="468" customFormat="1" ht="15.75" customHeight="1" x14ac:dyDescent="0.35">
      <c r="A361" s="1095"/>
      <c r="B361" s="1336"/>
      <c r="C361" s="1336"/>
      <c r="D361" s="1336"/>
      <c r="E361" s="1336"/>
      <c r="F361" s="1336"/>
      <c r="G361" s="1336"/>
      <c r="H361" s="1336"/>
      <c r="I361" s="1336"/>
      <c r="J361" s="1322"/>
      <c r="K361" s="544"/>
      <c r="L361"/>
      <c r="M361"/>
      <c r="N361"/>
      <c r="O361"/>
      <c r="P361"/>
      <c r="Q361"/>
      <c r="R361"/>
      <c r="S361"/>
      <c r="T361"/>
      <c r="U361"/>
      <c r="V361"/>
      <c r="W361"/>
      <c r="X361"/>
    </row>
    <row r="362" spans="1:24" s="273" customFormat="1" ht="16.5" customHeight="1" x14ac:dyDescent="0.35">
      <c r="A362" s="901"/>
      <c r="B362" s="2192" t="s">
        <v>1995</v>
      </c>
      <c r="C362" s="2192"/>
      <c r="D362" s="2192"/>
      <c r="E362" s="2192"/>
      <c r="F362" s="2192"/>
      <c r="G362" s="2192"/>
      <c r="H362" s="2192"/>
      <c r="I362" s="2192"/>
      <c r="J362" s="905"/>
      <c r="K362" s="274"/>
      <c r="L362"/>
      <c r="M362" s="261"/>
      <c r="N362"/>
      <c r="O362"/>
      <c r="P362"/>
      <c r="Q362"/>
      <c r="R362"/>
      <c r="S362"/>
      <c r="T362"/>
      <c r="U362"/>
      <c r="V362"/>
      <c r="W362"/>
      <c r="X362"/>
    </row>
    <row r="363" spans="1:24" s="273" customFormat="1" ht="9.75" customHeight="1" x14ac:dyDescent="0.35">
      <c r="A363" s="901"/>
      <c r="B363" s="726"/>
      <c r="C363" s="726"/>
      <c r="D363" s="726"/>
      <c r="E363" s="726"/>
      <c r="F363" s="726"/>
      <c r="G363" s="726"/>
      <c r="H363" s="726"/>
      <c r="I363" s="726"/>
      <c r="J363" s="905"/>
      <c r="K363" s="274"/>
      <c r="L363" s="468"/>
      <c r="M363" s="468"/>
      <c r="N363" s="468"/>
      <c r="O363" s="468"/>
      <c r="P363" s="468"/>
      <c r="Q363" s="468"/>
      <c r="R363" s="468"/>
      <c r="S363" s="468"/>
      <c r="T363" s="468"/>
      <c r="U363" s="468"/>
      <c r="V363" s="468"/>
      <c r="W363" s="468"/>
      <c r="X363" s="468"/>
    </row>
    <row r="364" spans="1:24" x14ac:dyDescent="0.35">
      <c r="A364" s="901"/>
      <c r="B364" s="904"/>
      <c r="C364" s="904"/>
      <c r="D364" s="904"/>
      <c r="E364" s="904"/>
      <c r="F364" s="904"/>
      <c r="G364" s="904"/>
      <c r="H364" s="904"/>
      <c r="I364" s="904"/>
      <c r="J364" s="900"/>
      <c r="L364" s="468"/>
      <c r="M364" s="468"/>
      <c r="N364" s="468"/>
      <c r="O364" s="468"/>
      <c r="P364" s="468"/>
      <c r="Q364" s="468"/>
      <c r="R364" s="468"/>
      <c r="S364" s="468"/>
      <c r="T364" s="468"/>
      <c r="U364" s="468"/>
      <c r="V364" s="468"/>
      <c r="W364" s="468"/>
      <c r="X364" s="468"/>
    </row>
    <row r="365" spans="1:24" x14ac:dyDescent="0.35">
      <c r="A365" s="2508" t="str">
        <f>"Konstruksi dalam Pengerjaan  "&amp;TEXT(Input!$I$685,"Rp#.##0")</f>
        <v>Konstruksi dalam Pengerjaan  Rp0</v>
      </c>
      <c r="B365" s="911" t="s">
        <v>2247</v>
      </c>
      <c r="C365" s="738"/>
      <c r="D365" s="738"/>
      <c r="E365" s="904"/>
      <c r="F365" s="904"/>
      <c r="G365" s="904"/>
      <c r="H365" s="904"/>
      <c r="I365" s="904"/>
      <c r="J365" s="900"/>
      <c r="L365" s="468"/>
      <c r="M365" s="468"/>
      <c r="N365" s="468"/>
      <c r="O365" s="468"/>
      <c r="P365" s="468"/>
      <c r="Q365" s="468"/>
      <c r="R365" s="468"/>
      <c r="S365" s="468"/>
      <c r="T365" s="468"/>
      <c r="U365" s="468"/>
      <c r="V365" s="468"/>
      <c r="W365" s="468"/>
      <c r="X365" s="468"/>
    </row>
    <row r="366" spans="1:24" x14ac:dyDescent="0.35">
      <c r="A366" s="2508"/>
      <c r="B366" s="2255" t="str">
        <f>"Saldo konstruksi dalam pengerjaan  per "&amp;Input!Q24&amp;" dan "&amp;Input!$T$25&amp;" masing-masing adalah sebesar adalah  "&amp;TEXT(Input!$I$685,"Rp#.##0")&amp;" dan "&amp;TEXT(Input!$K$685,"Rp#.##0")&amp;" yang merupakan pembangunan gedung tempat kerja yang proses pengerjaannya belum selesai sampai dengan tanggal neraca."</f>
        <v>Saldo konstruksi dalam pengerjaan  per 31 Desember 2019 dan 31 Desember 2018 masing-masing adalah sebesar adalah  Rp0 dan Rp0 yang merupakan pembangunan gedung tempat kerja yang proses pengerjaannya belum selesai sampai dengan tanggal neraca.</v>
      </c>
      <c r="C366" s="2255"/>
      <c r="D366" s="2255"/>
      <c r="E366" s="2255"/>
      <c r="F366" s="2255"/>
      <c r="G366" s="2255"/>
      <c r="H366" s="2255"/>
      <c r="I366" s="2255"/>
      <c r="J366" s="905"/>
      <c r="L366" s="468"/>
      <c r="M366" s="468"/>
      <c r="N366" s="468"/>
      <c r="O366" s="468"/>
      <c r="P366" s="468"/>
      <c r="Q366" s="468"/>
      <c r="R366" s="468"/>
      <c r="S366" s="468"/>
      <c r="T366" s="468"/>
      <c r="U366" s="468"/>
      <c r="V366" s="468"/>
      <c r="W366" s="468"/>
      <c r="X366" s="468"/>
    </row>
    <row r="367" spans="1:24" s="468" customFormat="1" x14ac:dyDescent="0.35">
      <c r="A367" s="2362"/>
      <c r="B367" s="2255"/>
      <c r="C367" s="2255"/>
      <c r="D367" s="2255"/>
      <c r="E367" s="2255"/>
      <c r="F367" s="2255"/>
      <c r="G367" s="2255"/>
      <c r="H367" s="2255"/>
      <c r="I367" s="2255"/>
      <c r="J367" s="905"/>
      <c r="K367" s="544"/>
    </row>
    <row r="368" spans="1:24" s="468" customFormat="1" x14ac:dyDescent="0.35">
      <c r="A368" s="2362"/>
      <c r="B368" s="2255"/>
      <c r="C368" s="2255"/>
      <c r="D368" s="2255"/>
      <c r="E368" s="2255"/>
      <c r="F368" s="2255"/>
      <c r="G368" s="2255"/>
      <c r="H368" s="2255"/>
      <c r="I368" s="2255"/>
      <c r="J368" s="905"/>
      <c r="K368" s="544"/>
      <c r="L368" s="426"/>
      <c r="M368" s="426"/>
      <c r="N368" s="426"/>
      <c r="O368" s="426"/>
      <c r="P368" s="426"/>
      <c r="Q368" s="426"/>
      <c r="R368" s="426"/>
      <c r="S368" s="426"/>
      <c r="T368" s="426"/>
      <c r="U368" s="426"/>
      <c r="V368" s="426"/>
      <c r="W368" s="426"/>
      <c r="X368" s="426"/>
    </row>
    <row r="369" spans="1:24" s="468" customFormat="1" x14ac:dyDescent="0.35">
      <c r="A369" s="912"/>
      <c r="B369" s="2255"/>
      <c r="C369" s="2255"/>
      <c r="D369" s="2255"/>
      <c r="E369" s="2255"/>
      <c r="F369" s="2255"/>
      <c r="G369" s="2255"/>
      <c r="H369" s="2255"/>
      <c r="I369" s="2255"/>
      <c r="J369" s="905"/>
      <c r="K369" s="544"/>
      <c r="L369"/>
      <c r="M369"/>
      <c r="N369"/>
      <c r="O369"/>
      <c r="P369"/>
      <c r="Q369"/>
      <c r="R369"/>
      <c r="S369"/>
      <c r="T369"/>
      <c r="U369"/>
      <c r="V369"/>
      <c r="W369"/>
      <c r="X369"/>
    </row>
    <row r="370" spans="1:24" s="468" customFormat="1" x14ac:dyDescent="0.35">
      <c r="A370" s="912"/>
      <c r="B370" s="2118"/>
      <c r="C370" s="2118"/>
      <c r="D370" s="2118"/>
      <c r="E370" s="2118"/>
      <c r="F370" s="2118"/>
      <c r="G370" s="2118"/>
      <c r="H370" s="2118"/>
      <c r="I370" s="2118"/>
      <c r="J370" s="905"/>
      <c r="K370" s="544"/>
      <c r="L370"/>
      <c r="M370"/>
      <c r="N370"/>
      <c r="O370"/>
      <c r="P370"/>
      <c r="Q370"/>
      <c r="R370"/>
      <c r="S370"/>
      <c r="T370"/>
      <c r="U370"/>
      <c r="V370"/>
      <c r="W370"/>
      <c r="X370"/>
    </row>
    <row r="371" spans="1:24" ht="15.75" customHeight="1" x14ac:dyDescent="0.35">
      <c r="A371" s="901"/>
      <c r="B371" s="2192" t="s">
        <v>1996</v>
      </c>
      <c r="C371" s="2192"/>
      <c r="D371" s="2192"/>
      <c r="E371" s="2192"/>
      <c r="F371" s="2192"/>
      <c r="G371" s="2192"/>
      <c r="H371" s="2192"/>
      <c r="I371" s="2192"/>
      <c r="J371" s="900"/>
    </row>
    <row r="372" spans="1:24" s="266" customFormat="1" x14ac:dyDescent="0.35">
      <c r="A372" s="901"/>
      <c r="B372" s="904"/>
      <c r="C372" s="904"/>
      <c r="D372" s="904"/>
      <c r="E372" s="904"/>
      <c r="F372" s="904"/>
      <c r="G372" s="904"/>
      <c r="H372" s="904"/>
      <c r="I372" s="904"/>
      <c r="J372" s="900"/>
      <c r="K372" s="267"/>
      <c r="M372" s="1014"/>
      <c r="N372" s="1014"/>
      <c r="O372" s="468"/>
      <c r="P372"/>
      <c r="Q372"/>
      <c r="R372"/>
      <c r="S372"/>
      <c r="T372"/>
      <c r="U372"/>
      <c r="V372"/>
      <c r="W372"/>
      <c r="X372"/>
    </row>
    <row r="373" spans="1:24" x14ac:dyDescent="0.35">
      <c r="A373" s="2508" t="str">
        <f>"Akumulasi Penyusutan Aset Tetap "&amp;TEXT(-Input!$I$686,"Rp#.##0")</f>
        <v>Akumulasi Penyusutan Aset Tetap Rp4.656.390.209</v>
      </c>
      <c r="B373" s="911" t="s">
        <v>1997</v>
      </c>
      <c r="C373" s="798"/>
      <c r="D373" s="904"/>
      <c r="E373" s="904"/>
      <c r="F373" s="904"/>
      <c r="G373" s="904"/>
      <c r="H373" s="904"/>
      <c r="I373" s="904"/>
      <c r="J373" s="900"/>
      <c r="K373" s="463"/>
    </row>
    <row r="374" spans="1:24" x14ac:dyDescent="0.35">
      <c r="A374" s="2508"/>
      <c r="B374" s="2192" t="str">
        <f>"Saldo Akumulasi Penyusutan Aset Tetap per "&amp;Input!Q24&amp;" dan "&amp;Input!$T$25&amp;" masing-masing adalah sebesar "&amp;TEXT(-Input!$I$686,"Rp#.##0")&amp;" dan "&amp;TEXT(-Input!$K$686,"Rp#.##0")&amp;". Akumulasi Penyusutan Aset Tetap merupakan alokasi sistematis atas nilai suatu aset tetap yang disusutkan selama masa manfaat aset yang bersangkutan selain untuk Tanah dan Konstruksi dalam Pengerjaan (KDP). Rincian Akumulasi Penyusutan Aset Tetap per "&amp;Input!Q24&amp;" adalah sebagai berikut:"</f>
        <v>Saldo Akumulasi Penyusutan Aset Tetap per 31 Desember 2019 dan 31 Desember 2018 masing-masing adalah sebesar Rp4.656.390.209 dan Rp3.757.424.451. Akumulasi Penyusutan Aset Tetap merupakan alokasi sistematis atas nilai suatu aset tetap yang disusutkan selama masa manfaat aset yang bersangkutan selain untuk Tanah dan Konstruksi dalam Pengerjaan (KDP). Rincian Akumulasi Penyusutan Aset Tetap per 31 Desember 2019 adalah sebagai berikut:</v>
      </c>
      <c r="C374" s="2192"/>
      <c r="D374" s="2192"/>
      <c r="E374" s="2192"/>
      <c r="F374" s="2192"/>
      <c r="G374" s="2192"/>
      <c r="H374" s="2192"/>
      <c r="I374" s="2192"/>
      <c r="J374" s="905"/>
    </row>
    <row r="375" spans="1:24" s="468" customFormat="1" x14ac:dyDescent="0.35">
      <c r="A375" s="2362"/>
      <c r="B375" s="2192"/>
      <c r="C375" s="2192"/>
      <c r="D375" s="2192"/>
      <c r="E375" s="2192"/>
      <c r="F375" s="2192"/>
      <c r="G375" s="2192"/>
      <c r="H375" s="2192"/>
      <c r="I375" s="2192"/>
      <c r="J375" s="905"/>
      <c r="K375" s="544"/>
      <c r="L375"/>
      <c r="M375"/>
      <c r="N375"/>
      <c r="O375"/>
      <c r="P375"/>
      <c r="Q375"/>
      <c r="R375"/>
      <c r="S375"/>
      <c r="T375"/>
      <c r="U375"/>
      <c r="V375"/>
      <c r="W375"/>
      <c r="X375"/>
    </row>
    <row r="376" spans="1:24" s="468" customFormat="1" x14ac:dyDescent="0.35">
      <c r="A376" s="2362"/>
      <c r="B376" s="2192"/>
      <c r="C376" s="2192"/>
      <c r="D376" s="2192"/>
      <c r="E376" s="2192"/>
      <c r="F376" s="2192"/>
      <c r="G376" s="2192"/>
      <c r="H376" s="2192"/>
      <c r="I376" s="2192"/>
      <c r="J376" s="905"/>
      <c r="K376" s="544"/>
      <c r="L376"/>
      <c r="M376"/>
      <c r="N376"/>
      <c r="O376"/>
      <c r="P376"/>
      <c r="Q376"/>
      <c r="R376"/>
      <c r="S376"/>
      <c r="T376"/>
      <c r="U376"/>
      <c r="V376"/>
      <c r="W376"/>
      <c r="X376"/>
    </row>
    <row r="377" spans="1:24" s="468" customFormat="1" x14ac:dyDescent="0.35">
      <c r="A377" s="912"/>
      <c r="B377" s="2192"/>
      <c r="C377" s="2192"/>
      <c r="D377" s="2192"/>
      <c r="E377" s="2192"/>
      <c r="F377" s="2192"/>
      <c r="G377" s="2192"/>
      <c r="H377" s="2192"/>
      <c r="I377" s="2192"/>
      <c r="J377" s="905"/>
      <c r="K377" s="544"/>
      <c r="L377" s="261"/>
      <c r="M377" s="261"/>
      <c r="N377" s="261"/>
      <c r="O377" s="261"/>
      <c r="P377" s="261"/>
      <c r="Q377" s="261"/>
      <c r="R377" s="261"/>
      <c r="S377" s="261"/>
      <c r="T377" s="261"/>
      <c r="U377" s="261"/>
      <c r="V377" s="261"/>
      <c r="W377" s="261"/>
      <c r="X377" s="261"/>
    </row>
    <row r="378" spans="1:24" s="468" customFormat="1" x14ac:dyDescent="0.35">
      <c r="A378" s="912"/>
      <c r="B378" s="2192"/>
      <c r="C378" s="2192"/>
      <c r="D378" s="2192"/>
      <c r="E378" s="2192"/>
      <c r="F378" s="2192"/>
      <c r="G378" s="2192"/>
      <c r="H378" s="2192"/>
      <c r="I378" s="2192"/>
      <c r="J378" s="905"/>
      <c r="K378" s="544"/>
    </row>
    <row r="379" spans="1:24" s="468" customFormat="1" x14ac:dyDescent="0.35">
      <c r="A379" s="912"/>
      <c r="B379" s="2118"/>
      <c r="C379" s="2118"/>
      <c r="D379" s="2118"/>
      <c r="E379" s="2118"/>
      <c r="F379" s="2118"/>
      <c r="G379" s="2118"/>
      <c r="H379" s="2118"/>
      <c r="I379" s="2118"/>
      <c r="J379" s="905"/>
      <c r="K379" s="544"/>
      <c r="L379"/>
      <c r="M379"/>
      <c r="N379"/>
      <c r="O379"/>
      <c r="P379"/>
      <c r="Q379"/>
      <c r="R379"/>
      <c r="S379"/>
      <c r="T379"/>
      <c r="U379"/>
      <c r="V379"/>
      <c r="W379"/>
      <c r="X379"/>
    </row>
    <row r="380" spans="1:24" s="426" customFormat="1" ht="10.5" customHeight="1" x14ac:dyDescent="0.35">
      <c r="A380" s="912"/>
      <c r="B380" s="751"/>
      <c r="C380" s="751"/>
      <c r="D380" s="751"/>
      <c r="E380" s="751"/>
      <c r="F380" s="751"/>
      <c r="G380" s="751"/>
      <c r="H380" s="751"/>
      <c r="I380" s="751"/>
      <c r="J380" s="905"/>
      <c r="K380" s="425"/>
      <c r="L380"/>
      <c r="M380"/>
      <c r="N380"/>
      <c r="O380"/>
      <c r="P380"/>
      <c r="Q380"/>
      <c r="R380"/>
      <c r="S380"/>
      <c r="T380"/>
      <c r="U380"/>
      <c r="V380"/>
      <c r="W380"/>
      <c r="X380"/>
    </row>
    <row r="381" spans="1:24" x14ac:dyDescent="0.35">
      <c r="A381" s="901"/>
      <c r="B381" s="2490" t="str">
        <f>"Rincian Akumulasi Penyusutan Aset Tetap "&amp;Input!$M$24&amp;" "</f>
        <v xml:space="preserve">Rincian Akumulasi Penyusutan Aset Tetap 31 Desember 2019 </v>
      </c>
      <c r="C381" s="2490"/>
      <c r="D381" s="2490"/>
      <c r="E381" s="2490"/>
      <c r="F381" s="2490"/>
      <c r="G381" s="2490"/>
      <c r="H381" s="2490"/>
      <c r="I381" s="906"/>
      <c r="J381" s="900"/>
      <c r="L381" s="468"/>
      <c r="M381" s="468"/>
      <c r="N381" s="468"/>
      <c r="O381" s="468"/>
      <c r="P381" s="468"/>
      <c r="Q381" s="468"/>
      <c r="R381" s="468"/>
      <c r="S381" s="468"/>
      <c r="T381" s="468"/>
      <c r="U381" s="468"/>
      <c r="V381" s="468"/>
      <c r="W381" s="468"/>
      <c r="X381" s="468"/>
    </row>
    <row r="382" spans="1:24" ht="36.75" customHeight="1" x14ac:dyDescent="0.35">
      <c r="A382" s="901"/>
      <c r="B382" s="966" t="s">
        <v>112</v>
      </c>
      <c r="C382" s="969" t="s">
        <v>50</v>
      </c>
      <c r="D382" s="966" t="s">
        <v>1779</v>
      </c>
      <c r="E382" s="968" t="s">
        <v>1140</v>
      </c>
      <c r="F382" s="2491" t="s">
        <v>1780</v>
      </c>
      <c r="G382" s="2491"/>
      <c r="H382" s="2491"/>
      <c r="I382" s="904"/>
      <c r="J382" s="900"/>
      <c r="L382" s="468"/>
      <c r="M382" s="468"/>
      <c r="N382" s="468"/>
      <c r="O382" s="468"/>
      <c r="P382" s="468"/>
      <c r="Q382" s="468"/>
      <c r="R382" s="468"/>
      <c r="S382" s="468"/>
      <c r="T382" s="468"/>
      <c r="U382" s="468"/>
      <c r="V382" s="468"/>
      <c r="W382" s="468"/>
      <c r="X382" s="468"/>
    </row>
    <row r="383" spans="1:24" x14ac:dyDescent="0.35">
      <c r="A383" s="901"/>
      <c r="B383" s="970">
        <v>1</v>
      </c>
      <c r="C383" s="971" t="str">
        <f>Input!C681</f>
        <v>Peralatan dan Mesin</v>
      </c>
      <c r="D383" s="1457">
        <f>Input!I641</f>
        <v>5985434940</v>
      </c>
      <c r="E383" s="1457">
        <v>4406066218</v>
      </c>
      <c r="F383" s="2492">
        <f>D383-E383</f>
        <v>1579368722</v>
      </c>
      <c r="G383" s="2492"/>
      <c r="H383" s="2492"/>
      <c r="I383" s="904"/>
      <c r="J383" s="900"/>
    </row>
    <row r="384" spans="1:24" x14ac:dyDescent="0.35">
      <c r="A384" s="901"/>
      <c r="B384" s="973">
        <v>2</v>
      </c>
      <c r="C384" s="971" t="str">
        <f>Input!C682</f>
        <v>Gedung dan Bangunan</v>
      </c>
      <c r="D384" s="972">
        <f>Input!M641</f>
        <v>6311976199</v>
      </c>
      <c r="E384" s="1457">
        <v>244716065</v>
      </c>
      <c r="F384" s="2492">
        <f>D384-E384</f>
        <v>6067260134</v>
      </c>
      <c r="G384" s="2492"/>
      <c r="H384" s="2492"/>
      <c r="I384" s="904"/>
      <c r="J384" s="900"/>
      <c r="L384" s="1014" t="s">
        <v>1999</v>
      </c>
      <c r="M384" s="468"/>
      <c r="N384" s="468"/>
      <c r="O384" s="468"/>
      <c r="P384" s="468"/>
      <c r="Q384" s="468"/>
      <c r="R384" s="468"/>
      <c r="S384" s="468"/>
      <c r="T384" s="468"/>
      <c r="U384" s="468"/>
      <c r="V384" s="468"/>
      <c r="W384" s="468"/>
      <c r="X384" s="468"/>
    </row>
    <row r="385" spans="1:24" x14ac:dyDescent="0.35">
      <c r="A385" s="901"/>
      <c r="B385" s="970">
        <v>3</v>
      </c>
      <c r="C385" s="971" t="str">
        <f>Input!C683</f>
        <v>Jalan, Irigasi, dan Jaringan</v>
      </c>
      <c r="D385" s="972">
        <v>29536650</v>
      </c>
      <c r="E385" s="1457">
        <v>5607926</v>
      </c>
      <c r="F385" s="2492">
        <f>D385-E385</f>
        <v>23928724</v>
      </c>
      <c r="G385" s="2492"/>
      <c r="H385" s="2492"/>
      <c r="I385" s="904"/>
      <c r="J385" s="900"/>
      <c r="L385" s="468"/>
      <c r="M385" s="468"/>
      <c r="N385" s="468"/>
      <c r="O385" s="468"/>
      <c r="P385" s="468"/>
      <c r="Q385" s="468"/>
      <c r="R385" s="468"/>
      <c r="S385" s="468"/>
      <c r="T385" s="468"/>
      <c r="U385" s="468"/>
      <c r="V385" s="468"/>
      <c r="W385" s="468"/>
      <c r="X385" s="468"/>
    </row>
    <row r="386" spans="1:24" x14ac:dyDescent="0.35">
      <c r="A386" s="901"/>
      <c r="B386" s="970">
        <v>4</v>
      </c>
      <c r="C386" s="971" t="str">
        <f>Input!C684</f>
        <v>Aset Tetap Lainnya</v>
      </c>
      <c r="D386" s="972">
        <f>Input!P641</f>
        <v>339285000</v>
      </c>
      <c r="E386" s="1013">
        <v>0</v>
      </c>
      <c r="F386" s="2492">
        <f>D386-E386</f>
        <v>339285000</v>
      </c>
      <c r="G386" s="2492"/>
      <c r="H386" s="2492"/>
      <c r="I386" s="904"/>
      <c r="J386" s="900"/>
    </row>
    <row r="387" spans="1:24" x14ac:dyDescent="0.35">
      <c r="A387" s="901"/>
      <c r="B387" s="2768" t="s">
        <v>1140</v>
      </c>
      <c r="C387" s="2769"/>
      <c r="D387" s="1275">
        <f>SUM(D383:D386)</f>
        <v>12666232789</v>
      </c>
      <c r="E387" s="1275">
        <f>SUM(E383:E386)</f>
        <v>4656390209</v>
      </c>
      <c r="F387" s="2718">
        <f>SUM(F383:F386)</f>
        <v>8009842580</v>
      </c>
      <c r="G387" s="2719"/>
      <c r="H387" s="2720"/>
      <c r="I387" s="904"/>
      <c r="J387" s="900"/>
    </row>
    <row r="388" spans="1:24" ht="10.5" customHeight="1" x14ac:dyDescent="0.35">
      <c r="A388" s="901"/>
      <c r="B388" s="904"/>
      <c r="C388" s="904"/>
      <c r="D388" s="904"/>
      <c r="E388" s="904"/>
      <c r="F388" s="904"/>
      <c r="G388" s="904"/>
      <c r="H388" s="904"/>
      <c r="I388" s="904"/>
      <c r="J388" s="900"/>
    </row>
    <row r="389" spans="1:24" s="261" customFormat="1" ht="18" customHeight="1" x14ac:dyDescent="0.35">
      <c r="A389" s="901"/>
      <c r="B389" s="2192" t="s">
        <v>2000</v>
      </c>
      <c r="C389" s="2192"/>
      <c r="D389" s="2192"/>
      <c r="E389" s="2192"/>
      <c r="F389" s="2192"/>
      <c r="G389" s="2192"/>
      <c r="H389" s="2192"/>
      <c r="I389" s="2192"/>
      <c r="J389" s="974"/>
      <c r="K389" s="264"/>
      <c r="L389"/>
      <c r="M389"/>
      <c r="N389"/>
      <c r="O389"/>
      <c r="P389"/>
      <c r="Q389"/>
      <c r="R389"/>
      <c r="S389"/>
      <c r="T389"/>
      <c r="U389"/>
      <c r="V389"/>
      <c r="W389"/>
      <c r="X389"/>
    </row>
    <row r="390" spans="1:24" s="468" customFormat="1" ht="18" customHeight="1" x14ac:dyDescent="0.35">
      <c r="A390" s="939"/>
      <c r="B390" s="844"/>
      <c r="C390" s="844"/>
      <c r="D390" s="844"/>
      <c r="E390" s="844"/>
      <c r="F390" s="844"/>
      <c r="G390" s="844"/>
      <c r="H390" s="844"/>
      <c r="I390" s="844"/>
      <c r="J390" s="974"/>
      <c r="K390" s="544"/>
      <c r="L390"/>
      <c r="M390"/>
      <c r="N390"/>
      <c r="O390"/>
      <c r="P390"/>
      <c r="Q390"/>
      <c r="R390"/>
      <c r="S390"/>
      <c r="T390"/>
      <c r="U390"/>
      <c r="V390"/>
      <c r="W390"/>
      <c r="X390"/>
    </row>
    <row r="391" spans="1:24" x14ac:dyDescent="0.35">
      <c r="A391" s="2508" t="str">
        <f>"Aset Tak Berwujud  "&amp;TEXT(Input!$I$697,"Rp#.##0")</f>
        <v>Aset Tak Berwujud  Rp0</v>
      </c>
      <c r="B391" s="911" t="s">
        <v>1998</v>
      </c>
      <c r="C391" s="738"/>
      <c r="D391" s="738"/>
      <c r="E391" s="738"/>
      <c r="F391" s="904"/>
      <c r="G391" s="904"/>
      <c r="H391" s="904"/>
      <c r="I391" s="904"/>
      <c r="J391" s="900"/>
      <c r="L391" s="261"/>
      <c r="M391" s="261"/>
      <c r="N391" s="261"/>
      <c r="O391" s="261"/>
      <c r="P391" s="261"/>
      <c r="Q391" s="261"/>
      <c r="R391" s="261"/>
      <c r="S391" s="261"/>
      <c r="T391" s="261"/>
      <c r="U391" s="261"/>
      <c r="V391" s="261"/>
      <c r="W391" s="261"/>
      <c r="X391" s="261"/>
    </row>
    <row r="392" spans="1:24" ht="15.75" customHeight="1" x14ac:dyDescent="0.35">
      <c r="A392" s="2508"/>
      <c r="B392" s="2502" t="str">
        <f>"Saldo Aset Tak Berwujud (ATB) per "&amp;Input!Q24&amp;" dan 31 Desember "&amp;Input!$T$25&amp;" adalah "&amp;TEXT(Input!$I$697,"Rp#.##0")&amp;" dan "&amp;TEXT(Input!$K$697,"Rp#.##0")&amp;". Aset Tak Berwujud merupakan aset yang dapat diidentifikasi dan dimiliki, tetapi tidak mempunyai wujud fisik."</f>
        <v>Saldo Aset Tak Berwujud (ATB) per 31 Desember 2019 dan 31 Desember 31 Desember 2018 adalah Rp0 dan Rp0. Aset Tak Berwujud merupakan aset yang dapat diidentifikasi dan dimiliki, tetapi tidak mempunyai wujud fisik.</v>
      </c>
      <c r="C392" s="2502"/>
      <c r="D392" s="2502"/>
      <c r="E392" s="2502"/>
      <c r="F392" s="2502"/>
      <c r="G392" s="2502"/>
      <c r="H392" s="2502"/>
      <c r="I392" s="2502"/>
      <c r="J392" s="905"/>
    </row>
    <row r="393" spans="1:24" s="468" customFormat="1" x14ac:dyDescent="0.35">
      <c r="A393" s="2362"/>
      <c r="B393" s="2502"/>
      <c r="C393" s="2502"/>
      <c r="D393" s="2502"/>
      <c r="E393" s="2502"/>
      <c r="F393" s="2502"/>
      <c r="G393" s="2502"/>
      <c r="H393" s="2502"/>
      <c r="I393" s="2502"/>
      <c r="J393" s="905"/>
      <c r="K393" s="544"/>
      <c r="L393"/>
      <c r="M393"/>
      <c r="N393"/>
      <c r="O393"/>
      <c r="P393"/>
      <c r="Q393"/>
      <c r="R393"/>
      <c r="S393"/>
      <c r="T393"/>
      <c r="U393"/>
      <c r="V393"/>
      <c r="W393"/>
      <c r="X393"/>
    </row>
    <row r="394" spans="1:24" s="468" customFormat="1" x14ac:dyDescent="0.35">
      <c r="A394" s="1326"/>
      <c r="B394" s="2502"/>
      <c r="C394" s="2502"/>
      <c r="D394" s="2502"/>
      <c r="E394" s="2502"/>
      <c r="F394" s="2502"/>
      <c r="G394" s="2502"/>
      <c r="H394" s="2502"/>
      <c r="I394" s="2502"/>
      <c r="J394" s="1322"/>
      <c r="K394" s="544"/>
      <c r="L394" s="311"/>
      <c r="M394" s="311"/>
      <c r="N394" s="311"/>
      <c r="O394" s="311"/>
      <c r="P394" s="311"/>
      <c r="Q394" s="311"/>
      <c r="R394" s="311"/>
      <c r="S394" s="311"/>
      <c r="T394" s="311"/>
      <c r="U394" s="311"/>
      <c r="V394" s="311"/>
      <c r="W394" s="311"/>
      <c r="X394" s="311"/>
    </row>
    <row r="395" spans="1:24" ht="49.5" customHeight="1" x14ac:dyDescent="0.35">
      <c r="A395" s="901"/>
      <c r="B395" s="2179" t="str">
        <f>"Aset Tak Berwujud berupa software yang digunakan untuk menunjang operasional kantor. Mutasi transaksi terhadap Aset Tak Berwujud pada tanggal pelaporan adalah sebagai berikut :"</f>
        <v>Aset Tak Berwujud berupa software yang digunakan untuk menunjang operasional kantor. Mutasi transaksi terhadap Aset Tak Berwujud pada tanggal pelaporan adalah sebagai berikut :</v>
      </c>
      <c r="C395" s="2179"/>
      <c r="D395" s="2179"/>
      <c r="E395" s="2179"/>
      <c r="F395" s="2179"/>
      <c r="G395" s="2179"/>
      <c r="H395" s="2179"/>
      <c r="I395" s="2179"/>
      <c r="J395" s="905"/>
      <c r="L395" s="426"/>
      <c r="M395" s="426"/>
      <c r="N395" s="426"/>
      <c r="O395" s="426"/>
      <c r="P395" s="426"/>
      <c r="Q395" s="426"/>
      <c r="R395" s="426"/>
      <c r="S395" s="426"/>
      <c r="T395" s="426"/>
      <c r="U395" s="426"/>
      <c r="V395" s="426"/>
      <c r="W395" s="426"/>
      <c r="X395" s="426"/>
    </row>
    <row r="396" spans="1:24" s="468" customFormat="1" ht="12" customHeight="1" x14ac:dyDescent="0.35">
      <c r="A396" s="1056"/>
      <c r="B396" s="1333"/>
      <c r="C396" s="1333"/>
      <c r="D396" s="1333"/>
      <c r="E396" s="1333"/>
      <c r="F396" s="1333"/>
      <c r="G396" s="1333"/>
      <c r="H396" s="1333"/>
      <c r="I396" s="1333"/>
      <c r="J396" s="1058"/>
      <c r="K396" s="544"/>
      <c r="L396"/>
      <c r="M396"/>
      <c r="N396"/>
      <c r="O396"/>
      <c r="P396"/>
      <c r="Q396"/>
      <c r="R396"/>
      <c r="S396"/>
      <c r="T396"/>
      <c r="U396"/>
      <c r="V396"/>
      <c r="W396"/>
      <c r="X396"/>
    </row>
    <row r="397" spans="1:24" s="468" customFormat="1" ht="12" customHeight="1" x14ac:dyDescent="0.35">
      <c r="A397" s="939"/>
      <c r="B397" s="1333"/>
      <c r="C397" s="1333"/>
      <c r="D397" s="1333"/>
      <c r="E397" s="1333"/>
      <c r="F397" s="1333"/>
      <c r="G397" s="1333"/>
      <c r="H397" s="1333"/>
      <c r="I397" s="1333"/>
      <c r="J397" s="905"/>
      <c r="K397" s="544"/>
      <c r="L397"/>
      <c r="M397"/>
      <c r="N397"/>
      <c r="O397"/>
      <c r="P397"/>
      <c r="Q397"/>
      <c r="R397"/>
      <c r="S397"/>
      <c r="T397"/>
      <c r="U397"/>
      <c r="V397"/>
      <c r="W397"/>
      <c r="X397"/>
    </row>
    <row r="398" spans="1:24" ht="7.5" customHeight="1" x14ac:dyDescent="0.35">
      <c r="A398" s="901"/>
      <c r="B398" s="726"/>
      <c r="C398" s="2592"/>
      <c r="D398" s="2592"/>
      <c r="E398" s="2592"/>
      <c r="F398" s="2592"/>
      <c r="G398" s="2592"/>
      <c r="H398" s="2592"/>
      <c r="I398" s="2592"/>
      <c r="J398" s="900"/>
    </row>
    <row r="399" spans="1:24" x14ac:dyDescent="0.35">
      <c r="A399" s="901"/>
      <c r="B399" s="2657" t="str">
        <f>"Saldo Nilai Perolehan per "&amp;Input!$T$25&amp;""</f>
        <v>Saldo Nilai Perolehan per 31 Desember 2018</v>
      </c>
      <c r="C399" s="2658"/>
      <c r="D399" s="2658"/>
      <c r="E399" s="2659"/>
      <c r="F399" s="2505">
        <f>Input!K697</f>
        <v>0</v>
      </c>
      <c r="G399" s="2505"/>
      <c r="H399" s="2505"/>
      <c r="I399" s="2505"/>
      <c r="J399" s="900"/>
      <c r="L399" s="468"/>
      <c r="M399" s="468"/>
      <c r="N399" s="468"/>
      <c r="O399" s="468"/>
      <c r="P399" s="468"/>
      <c r="Q399" s="468"/>
      <c r="R399" s="468"/>
      <c r="S399" s="468"/>
      <c r="T399" s="468"/>
      <c r="U399" s="468"/>
      <c r="V399" s="468"/>
      <c r="W399" s="468"/>
      <c r="X399" s="468"/>
    </row>
    <row r="400" spans="1:24" x14ac:dyDescent="0.35">
      <c r="A400" s="901"/>
      <c r="B400" s="2507" t="s">
        <v>1770</v>
      </c>
      <c r="C400" s="2507"/>
      <c r="D400" s="2507"/>
      <c r="E400" s="2507"/>
      <c r="F400" s="2645"/>
      <c r="G400" s="2645"/>
      <c r="H400" s="2645"/>
      <c r="I400" s="2645"/>
      <c r="J400" s="900"/>
      <c r="L400" s="468"/>
      <c r="M400" s="468"/>
      <c r="N400" s="468"/>
      <c r="O400" s="468"/>
      <c r="P400" s="468"/>
      <c r="Q400" s="468"/>
      <c r="R400" s="468"/>
      <c r="S400" s="468"/>
      <c r="T400" s="468"/>
      <c r="U400" s="468"/>
      <c r="V400" s="468"/>
      <c r="W400" s="468"/>
      <c r="X400" s="468"/>
    </row>
    <row r="401" spans="1:24" x14ac:dyDescent="0.35">
      <c r="A401" s="901"/>
      <c r="B401" s="2493" t="s">
        <v>305</v>
      </c>
      <c r="C401" s="2493"/>
      <c r="D401" s="2493"/>
      <c r="E401" s="2493"/>
      <c r="F401" s="2506">
        <v>0</v>
      </c>
      <c r="G401" s="2506"/>
      <c r="H401" s="2506"/>
      <c r="I401" s="2506"/>
      <c r="J401" s="900"/>
      <c r="L401" s="468"/>
      <c r="M401" s="468"/>
      <c r="N401" s="468"/>
      <c r="O401" s="468"/>
      <c r="P401" s="468"/>
      <c r="Q401" s="468"/>
      <c r="R401" s="468"/>
      <c r="S401" s="468"/>
      <c r="T401" s="468"/>
      <c r="U401" s="468"/>
      <c r="V401" s="468"/>
      <c r="W401" s="468"/>
      <c r="X401" s="468"/>
    </row>
    <row r="402" spans="1:24" x14ac:dyDescent="0.35">
      <c r="A402" s="901"/>
      <c r="B402" s="2507" t="s">
        <v>1771</v>
      </c>
      <c r="C402" s="2507"/>
      <c r="D402" s="2507"/>
      <c r="E402" s="2507"/>
      <c r="F402" s="2645"/>
      <c r="G402" s="2645"/>
      <c r="H402" s="2645"/>
      <c r="I402" s="2645"/>
      <c r="J402" s="900"/>
      <c r="L402" s="426"/>
      <c r="M402" s="426"/>
      <c r="N402" s="426"/>
      <c r="O402" s="426"/>
      <c r="P402" s="426"/>
      <c r="Q402" s="426"/>
      <c r="R402" s="426"/>
      <c r="S402" s="426"/>
      <c r="T402" s="426"/>
      <c r="U402" s="426"/>
      <c r="V402" s="426"/>
      <c r="W402" s="426"/>
      <c r="X402" s="426"/>
    </row>
    <row r="403" spans="1:24" s="261" customFormat="1" x14ac:dyDescent="0.35">
      <c r="A403" s="901"/>
      <c r="B403" s="2504" t="str">
        <f>"Saldo per "&amp;Input!$Q$24&amp;" "</f>
        <v xml:space="preserve">Saldo per 31 Desember 2019 </v>
      </c>
      <c r="C403" s="2504"/>
      <c r="D403" s="2504"/>
      <c r="E403" s="2504"/>
      <c r="F403" s="2505">
        <f>((F399+F401)-F402)</f>
        <v>0</v>
      </c>
      <c r="G403" s="2505"/>
      <c r="H403" s="2505"/>
      <c r="I403" s="2505"/>
      <c r="J403" s="900"/>
      <c r="K403" s="264"/>
      <c r="L403" s="426"/>
      <c r="M403" s="426"/>
      <c r="N403" s="426"/>
      <c r="O403" s="426"/>
      <c r="P403" s="426"/>
      <c r="Q403" s="426"/>
      <c r="R403" s="426"/>
      <c r="S403" s="426"/>
      <c r="T403" s="426"/>
      <c r="U403" s="426"/>
      <c r="V403" s="426"/>
      <c r="W403" s="426"/>
      <c r="X403" s="426"/>
    </row>
    <row r="404" spans="1:24" x14ac:dyDescent="0.35">
      <c r="A404" s="901"/>
      <c r="B404" s="2495" t="str">
        <f>"Akumulasi Penyusutan s.d. "&amp;Input!$Q$24&amp;" "</f>
        <v xml:space="preserve">Akumulasi Penyusutan s.d. 31 Desember 2019 </v>
      </c>
      <c r="C404" s="2496"/>
      <c r="D404" s="2496"/>
      <c r="E404" s="2497"/>
      <c r="F404" s="2498">
        <v>0</v>
      </c>
      <c r="G404" s="2499"/>
      <c r="H404" s="2499"/>
      <c r="I404" s="2500"/>
      <c r="J404" s="900"/>
      <c r="L404" s="426"/>
      <c r="M404" s="426"/>
      <c r="N404" s="426"/>
      <c r="O404" s="426"/>
      <c r="P404" s="426"/>
      <c r="Q404" s="426"/>
      <c r="R404" s="426"/>
      <c r="S404" s="426"/>
      <c r="T404" s="426"/>
      <c r="U404" s="426"/>
      <c r="V404" s="426"/>
      <c r="W404" s="426"/>
      <c r="X404" s="426"/>
    </row>
    <row r="405" spans="1:24" x14ac:dyDescent="0.35">
      <c r="A405" s="901"/>
      <c r="B405" s="2501" t="str">
        <f>"Nilai Buku per "&amp;Input!$Q$24&amp;" "</f>
        <v xml:space="preserve">Nilai Buku per 31 Desember 2019 </v>
      </c>
      <c r="C405" s="2501"/>
      <c r="D405" s="2501"/>
      <c r="E405" s="2501"/>
      <c r="F405" s="2494">
        <f>F403+F404</f>
        <v>0</v>
      </c>
      <c r="G405" s="2494"/>
      <c r="H405" s="2494"/>
      <c r="I405" s="2494"/>
      <c r="J405" s="900"/>
      <c r="L405" s="426"/>
      <c r="M405" s="426"/>
      <c r="N405" s="426"/>
      <c r="O405" s="426"/>
      <c r="P405" s="426"/>
      <c r="Q405" s="426"/>
      <c r="R405" s="426"/>
      <c r="S405" s="426"/>
      <c r="T405" s="426"/>
      <c r="U405" s="426"/>
      <c r="V405" s="426"/>
      <c r="W405" s="426"/>
      <c r="X405" s="426"/>
    </row>
    <row r="406" spans="1:24" s="311" customFormat="1" x14ac:dyDescent="0.35">
      <c r="A406" s="901"/>
      <c r="B406" s="904"/>
      <c r="C406" s="904"/>
      <c r="D406" s="904"/>
      <c r="E406" s="904"/>
      <c r="F406" s="904"/>
      <c r="G406" s="904"/>
      <c r="H406" s="904"/>
      <c r="I406" s="904"/>
      <c r="J406" s="900"/>
      <c r="K406" s="312"/>
      <c r="L406" s="426"/>
      <c r="M406" s="426"/>
      <c r="N406" s="426"/>
      <c r="O406" s="426"/>
      <c r="P406" s="426"/>
      <c r="Q406" s="426"/>
      <c r="R406" s="426"/>
      <c r="S406" s="426"/>
      <c r="T406" s="426"/>
      <c r="U406" s="426"/>
      <c r="V406" s="426"/>
      <c r="W406" s="426"/>
      <c r="X406" s="426"/>
    </row>
    <row r="407" spans="1:24" s="426" customFormat="1" ht="10.5" customHeight="1" x14ac:dyDescent="0.35">
      <c r="A407" s="901"/>
      <c r="B407" s="752"/>
      <c r="C407" s="752"/>
      <c r="D407" s="752"/>
      <c r="E407" s="752"/>
      <c r="F407" s="752"/>
      <c r="G407" s="752"/>
      <c r="H407" s="752"/>
      <c r="I407" s="752"/>
      <c r="J407" s="900"/>
      <c r="K407" s="425"/>
      <c r="L407" s="468"/>
      <c r="M407" s="468"/>
      <c r="N407" s="468"/>
      <c r="O407" s="468"/>
      <c r="P407" s="468"/>
      <c r="Q407" s="468"/>
      <c r="R407" s="468"/>
      <c r="S407" s="468"/>
      <c r="T407" s="468"/>
      <c r="U407" s="468"/>
      <c r="V407" s="468"/>
      <c r="W407" s="468"/>
      <c r="X407" s="468"/>
    </row>
    <row r="408" spans="1:24" x14ac:dyDescent="0.35">
      <c r="A408" s="901"/>
      <c r="B408" s="904"/>
      <c r="C408" s="904"/>
      <c r="D408" s="904"/>
      <c r="E408" s="904"/>
      <c r="F408" s="904"/>
      <c r="G408" s="904"/>
      <c r="H408" s="904"/>
      <c r="I408" s="904"/>
      <c r="J408" s="900"/>
      <c r="L408" s="426"/>
      <c r="M408" s="426"/>
      <c r="N408" s="426"/>
      <c r="O408" s="426"/>
      <c r="P408" s="426"/>
      <c r="Q408" s="426"/>
      <c r="R408" s="426"/>
      <c r="S408" s="426"/>
      <c r="T408" s="426"/>
      <c r="U408" s="426"/>
      <c r="V408" s="426"/>
      <c r="W408" s="426"/>
      <c r="X408" s="426"/>
    </row>
    <row r="409" spans="1:24" x14ac:dyDescent="0.35">
      <c r="A409" s="2508" t="str">
        <f>"Aset Lain-Lain  "&amp;TEXT(Input!$I$698,"Rp#.##0")</f>
        <v>Aset Lain-Lain  Rp79.907.000</v>
      </c>
      <c r="B409" s="911" t="s">
        <v>2248</v>
      </c>
      <c r="C409" s="738"/>
      <c r="D409" s="904"/>
      <c r="E409" s="904"/>
      <c r="F409" s="904"/>
      <c r="G409" s="904"/>
      <c r="H409" s="904"/>
      <c r="I409" s="904"/>
      <c r="J409" s="900"/>
      <c r="L409" s="306"/>
      <c r="M409" s="306"/>
      <c r="N409" s="306"/>
      <c r="O409" s="306"/>
      <c r="P409" s="306"/>
      <c r="Q409" s="306"/>
      <c r="R409" s="306"/>
      <c r="S409" s="306"/>
      <c r="T409" s="306"/>
      <c r="U409" s="306"/>
      <c r="V409" s="306"/>
      <c r="W409" s="306"/>
      <c r="X409" s="306"/>
    </row>
    <row r="410" spans="1:24" x14ac:dyDescent="0.35">
      <c r="A410" s="2508"/>
      <c r="B410" s="2192" t="str">
        <f>"Saldo Aset Lain-Lain per "&amp;Input!Q24&amp;" dan "&amp;Input!$T$25&amp;"  adalah sebesar "&amp;TEXT(Input!$I$698,"Rp#.##0")&amp;" dan "&amp;TEXT(Input!$K$698,"Rp#.##0")&amp;". Aset Lain-lain merupakan Barang Milik Negara (BMN) yang berada dalam kondisi rusak berat dan tidak lagi digunakan dalam operasional entitas. Adapun mutasi aset lain-lain adalah sebagai berikut:"</f>
        <v>Saldo Aset Lain-Lain per 31 Desember 2019 dan 31 Desember 2018  adalah sebesar Rp79.907.000 dan Rp79.907.000. Aset Lain-lain merupakan Barang Milik Negara (BMN) yang berada dalam kondisi rusak berat dan tidak lagi digunakan dalam operasional entitas. Adapun mutasi aset lain-lain adalah sebagai berikut:</v>
      </c>
      <c r="C410" s="2192"/>
      <c r="D410" s="2192"/>
      <c r="E410" s="2192"/>
      <c r="F410" s="2192"/>
      <c r="G410" s="2192"/>
      <c r="H410" s="2192"/>
      <c r="I410" s="2192"/>
      <c r="J410" s="905"/>
    </row>
    <row r="411" spans="1:24" s="468" customFormat="1" x14ac:dyDescent="0.35">
      <c r="A411" s="2362"/>
      <c r="B411" s="2192"/>
      <c r="C411" s="2192"/>
      <c r="D411" s="2192"/>
      <c r="E411" s="2192"/>
      <c r="F411" s="2192"/>
      <c r="G411" s="2192"/>
      <c r="H411" s="2192"/>
      <c r="I411" s="2192"/>
      <c r="J411" s="905"/>
      <c r="K411" s="544"/>
      <c r="L411"/>
      <c r="M411"/>
      <c r="N411"/>
      <c r="O411"/>
      <c r="P411"/>
      <c r="Q411"/>
      <c r="R411"/>
      <c r="S411"/>
      <c r="T411"/>
      <c r="U411"/>
      <c r="V411"/>
      <c r="W411"/>
      <c r="X411"/>
    </row>
    <row r="412" spans="1:24" s="468" customFormat="1" x14ac:dyDescent="0.35">
      <c r="A412" s="912"/>
      <c r="B412" s="2192"/>
      <c r="C412" s="2192"/>
      <c r="D412" s="2192"/>
      <c r="E412" s="2192"/>
      <c r="F412" s="2192"/>
      <c r="G412" s="2192"/>
      <c r="H412" s="2192"/>
      <c r="I412" s="2192"/>
      <c r="J412" s="905"/>
      <c r="K412" s="544"/>
      <c r="L412"/>
      <c r="M412"/>
      <c r="N412"/>
      <c r="O412"/>
      <c r="P412"/>
      <c r="Q412"/>
      <c r="R412"/>
      <c r="S412"/>
      <c r="T412"/>
      <c r="U412"/>
      <c r="V412"/>
      <c r="W412"/>
      <c r="X412"/>
    </row>
    <row r="413" spans="1:24" s="468" customFormat="1" x14ac:dyDescent="0.35">
      <c r="A413" s="912"/>
      <c r="B413" s="2118"/>
      <c r="C413" s="2118"/>
      <c r="D413" s="2118"/>
      <c r="E413" s="2118"/>
      <c r="F413" s="2118"/>
      <c r="G413" s="2118"/>
      <c r="H413" s="2118"/>
      <c r="I413" s="2118"/>
      <c r="J413" s="905"/>
      <c r="K413" s="544"/>
      <c r="L413"/>
      <c r="M413"/>
      <c r="N413"/>
      <c r="O413"/>
      <c r="P413"/>
      <c r="Q413"/>
      <c r="R413"/>
      <c r="S413"/>
      <c r="T413"/>
      <c r="U413"/>
      <c r="V413"/>
      <c r="W413"/>
      <c r="X413"/>
    </row>
    <row r="414" spans="1:24" s="426" customFormat="1" ht="12.75" customHeight="1" x14ac:dyDescent="0.35">
      <c r="A414" s="912"/>
      <c r="B414" s="751"/>
      <c r="C414" s="751"/>
      <c r="D414" s="751"/>
      <c r="E414" s="751"/>
      <c r="F414" s="751"/>
      <c r="G414" s="751"/>
      <c r="H414" s="751"/>
      <c r="I414" s="751"/>
      <c r="J414" s="905"/>
      <c r="K414" s="425"/>
      <c r="L414" s="468"/>
      <c r="M414" s="468"/>
      <c r="N414" s="468"/>
      <c r="O414" s="468"/>
      <c r="P414" s="468"/>
      <c r="Q414" s="468"/>
      <c r="R414" s="468"/>
      <c r="S414" s="468"/>
      <c r="T414" s="468"/>
      <c r="U414" s="468"/>
      <c r="V414" s="468"/>
      <c r="W414" s="468"/>
      <c r="X414" s="468"/>
    </row>
    <row r="415" spans="1:24" s="468" customFormat="1" ht="12.75" customHeight="1" x14ac:dyDescent="0.35">
      <c r="A415" s="1419"/>
      <c r="B415" s="1418"/>
      <c r="C415" s="1418"/>
      <c r="D415" s="1418"/>
      <c r="E415" s="1418"/>
      <c r="F415" s="1418"/>
      <c r="G415" s="1418"/>
      <c r="H415" s="1418"/>
      <c r="I415" s="1418"/>
      <c r="J415" s="1322"/>
      <c r="K415" s="544"/>
    </row>
    <row r="416" spans="1:24" s="426" customFormat="1" ht="18" customHeight="1" x14ac:dyDescent="0.35">
      <c r="A416" s="912"/>
      <c r="B416" s="2657" t="str">
        <f>"Saldo Nilai Perolehan per "&amp;Input!$T$25&amp;""</f>
        <v>Saldo Nilai Perolehan per 31 Desember 2018</v>
      </c>
      <c r="C416" s="2658"/>
      <c r="D416" s="2658"/>
      <c r="E416" s="2659"/>
      <c r="F416" s="2505">
        <f>Input!K698</f>
        <v>79907000</v>
      </c>
      <c r="G416" s="2505"/>
      <c r="H416" s="2505"/>
      <c r="I416" s="2505"/>
      <c r="J416" s="905"/>
      <c r="K416" s="425"/>
      <c r="L416"/>
      <c r="M416" s="462"/>
      <c r="N416" s="462"/>
      <c r="O416"/>
      <c r="P416"/>
      <c r="Q416"/>
      <c r="R416"/>
      <c r="S416"/>
      <c r="T416"/>
      <c r="U416"/>
      <c r="V416"/>
      <c r="W416"/>
      <c r="X416"/>
    </row>
    <row r="417" spans="1:24" s="426" customFormat="1" ht="18" customHeight="1" x14ac:dyDescent="0.35">
      <c r="A417" s="912"/>
      <c r="B417" s="2507" t="s">
        <v>1770</v>
      </c>
      <c r="C417" s="2507"/>
      <c r="D417" s="2507"/>
      <c r="E417" s="2507"/>
      <c r="F417" s="2645">
        <f>F418</f>
        <v>0</v>
      </c>
      <c r="G417" s="2645"/>
      <c r="H417" s="2645"/>
      <c r="I417" s="2645"/>
      <c r="J417" s="905"/>
      <c r="K417" s="425"/>
      <c r="L417"/>
      <c r="M417"/>
      <c r="N417"/>
      <c r="O417"/>
      <c r="P417"/>
      <c r="Q417"/>
      <c r="R417"/>
      <c r="S417"/>
      <c r="T417"/>
      <c r="U417"/>
      <c r="V417"/>
      <c r="W417"/>
      <c r="X417"/>
    </row>
    <row r="418" spans="1:24" s="426" customFormat="1" ht="18" customHeight="1" x14ac:dyDescent="0.35">
      <c r="A418" s="912"/>
      <c r="B418" s="2493" t="s">
        <v>308</v>
      </c>
      <c r="C418" s="2493"/>
      <c r="D418" s="2493"/>
      <c r="E418" s="2493"/>
      <c r="F418" s="2506">
        <v>0</v>
      </c>
      <c r="G418" s="2506"/>
      <c r="H418" s="2506"/>
      <c r="I418" s="2506"/>
      <c r="J418" s="905"/>
      <c r="K418" s="425"/>
      <c r="L418" s="468"/>
      <c r="M418" s="468"/>
      <c r="N418" s="468"/>
      <c r="O418" s="468"/>
      <c r="P418" s="468"/>
      <c r="Q418" s="468"/>
      <c r="R418" s="468"/>
      <c r="S418" s="468"/>
      <c r="T418" s="468"/>
      <c r="U418" s="468"/>
      <c r="V418" s="468"/>
      <c r="W418" s="468"/>
      <c r="X418" s="468"/>
    </row>
    <row r="419" spans="1:24" s="426" customFormat="1" ht="18" customHeight="1" x14ac:dyDescent="0.35">
      <c r="A419" s="912"/>
      <c r="B419" s="2507" t="s">
        <v>2129</v>
      </c>
      <c r="C419" s="2507"/>
      <c r="D419" s="2507"/>
      <c r="E419" s="2507"/>
      <c r="F419" s="2506">
        <v>0</v>
      </c>
      <c r="G419" s="2506"/>
      <c r="H419" s="2506"/>
      <c r="I419" s="2506"/>
      <c r="J419" s="905"/>
      <c r="K419" s="425"/>
      <c r="L419" s="266"/>
      <c r="M419" s="266"/>
      <c r="N419" s="266"/>
      <c r="O419" s="266"/>
      <c r="P419" s="266"/>
      <c r="Q419" s="266"/>
      <c r="R419" s="266"/>
      <c r="S419" s="266"/>
      <c r="T419" s="266"/>
      <c r="U419" s="266"/>
      <c r="V419" s="266"/>
      <c r="W419" s="266"/>
      <c r="X419" s="266"/>
    </row>
    <row r="420" spans="1:24" s="468" customFormat="1" ht="18" customHeight="1" x14ac:dyDescent="0.35">
      <c r="A420" s="1307"/>
      <c r="B420" s="2493" t="s">
        <v>313</v>
      </c>
      <c r="C420" s="2493"/>
      <c r="D420" s="2493"/>
      <c r="E420" s="2493"/>
      <c r="F420" s="2506"/>
      <c r="G420" s="2506"/>
      <c r="H420" s="2506"/>
      <c r="I420" s="2506"/>
      <c r="J420" s="1311"/>
      <c r="K420" s="544"/>
      <c r="L420"/>
      <c r="M420"/>
      <c r="N420"/>
      <c r="O420"/>
      <c r="P420"/>
      <c r="Q420"/>
      <c r="R420"/>
      <c r="S420"/>
      <c r="T420"/>
      <c r="U420"/>
      <c r="V420"/>
      <c r="W420"/>
      <c r="X420"/>
    </row>
    <row r="421" spans="1:24" s="426" customFormat="1" ht="18" customHeight="1" x14ac:dyDescent="0.35">
      <c r="A421" s="912"/>
      <c r="B421" s="2504" t="str">
        <f>"Saldo per "&amp;Input!$Q$24&amp;" "</f>
        <v xml:space="preserve">Saldo per 31 Desember 2019 </v>
      </c>
      <c r="C421" s="2504"/>
      <c r="D421" s="2504"/>
      <c r="E421" s="2504"/>
      <c r="F421" s="2505">
        <f>F416-F419</f>
        <v>79907000</v>
      </c>
      <c r="G421" s="2505"/>
      <c r="H421" s="2505"/>
      <c r="I421" s="2505"/>
      <c r="J421" s="905"/>
      <c r="K421" s="425"/>
      <c r="L421"/>
      <c r="M421"/>
      <c r="N421"/>
      <c r="O421"/>
      <c r="P421"/>
      <c r="Q421"/>
      <c r="R421"/>
      <c r="S421"/>
      <c r="T421"/>
      <c r="U421"/>
      <c r="V421"/>
      <c r="W421"/>
      <c r="X421"/>
    </row>
    <row r="422" spans="1:24" s="306" customFormat="1" ht="18.75" customHeight="1" x14ac:dyDescent="0.35">
      <c r="A422" s="912"/>
      <c r="B422" s="2495" t="str">
        <f>"Akumulasi Penyusutan s.d. "&amp;Input!$Q$24&amp;" "</f>
        <v xml:space="preserve">Akumulasi Penyusutan s.d. 31 Desember 2019 </v>
      </c>
      <c r="C422" s="2496"/>
      <c r="D422" s="2496"/>
      <c r="E422" s="2497"/>
      <c r="F422" s="2498">
        <v>0</v>
      </c>
      <c r="G422" s="2499"/>
      <c r="H422" s="2499"/>
      <c r="I422" s="2500"/>
      <c r="J422" s="905"/>
      <c r="K422" s="307"/>
      <c r="L422" s="468"/>
      <c r="M422" s="468"/>
      <c r="N422" s="468"/>
      <c r="O422" s="468"/>
      <c r="P422" s="468"/>
      <c r="Q422" s="468"/>
      <c r="R422" s="468"/>
      <c r="S422" s="468"/>
      <c r="T422" s="468"/>
      <c r="U422" s="468"/>
      <c r="V422" s="468"/>
      <c r="W422" s="468"/>
      <c r="X422" s="468"/>
    </row>
    <row r="423" spans="1:24" x14ac:dyDescent="0.35">
      <c r="A423" s="901"/>
      <c r="B423" s="2501" t="str">
        <f>"Nilai Buku per "&amp;Input!$Q$24&amp;" "</f>
        <v xml:space="preserve">Nilai Buku per 31 Desember 2019 </v>
      </c>
      <c r="C423" s="2501"/>
      <c r="D423" s="2501"/>
      <c r="E423" s="2501"/>
      <c r="F423" s="2494">
        <f>F416+F417-F419+F422</f>
        <v>79907000</v>
      </c>
      <c r="G423" s="2494"/>
      <c r="H423" s="2494"/>
      <c r="I423" s="2494"/>
      <c r="J423" s="900"/>
      <c r="L423" s="468"/>
      <c r="M423" s="468"/>
      <c r="N423" s="468"/>
      <c r="O423" s="468"/>
      <c r="P423" s="468"/>
      <c r="Q423" s="468"/>
      <c r="R423" s="468"/>
      <c r="S423" s="468"/>
      <c r="T423" s="468"/>
      <c r="U423" s="468"/>
      <c r="V423" s="468"/>
      <c r="W423" s="468"/>
      <c r="X423" s="468"/>
    </row>
    <row r="424" spans="1:24" ht="14.25" customHeight="1" x14ac:dyDescent="0.35">
      <c r="A424" s="901"/>
      <c r="B424" s="2192"/>
      <c r="C424" s="2192"/>
      <c r="D424" s="2192"/>
      <c r="E424" s="2192"/>
      <c r="F424" s="2192"/>
      <c r="G424" s="2192"/>
      <c r="H424" s="2192"/>
      <c r="I424" s="2192"/>
      <c r="J424" s="905"/>
      <c r="L424" s="468"/>
      <c r="M424" s="468"/>
      <c r="N424" s="468"/>
      <c r="O424" s="468"/>
      <c r="P424" s="468"/>
      <c r="Q424" s="468"/>
      <c r="R424" s="468"/>
      <c r="S424" s="468"/>
      <c r="T424" s="468"/>
      <c r="U424" s="468"/>
      <c r="V424" s="468"/>
      <c r="W424" s="468"/>
      <c r="X424" s="468"/>
    </row>
    <row r="425" spans="1:24" ht="18" customHeight="1" x14ac:dyDescent="0.35">
      <c r="A425" s="901"/>
      <c r="B425" s="2502" t="s">
        <v>122</v>
      </c>
      <c r="C425" s="2502"/>
      <c r="D425" s="2502"/>
      <c r="E425" s="2502"/>
      <c r="F425" s="2502"/>
      <c r="G425" s="2502"/>
      <c r="H425" s="2502"/>
      <c r="I425" s="2502"/>
      <c r="J425" s="900"/>
    </row>
    <row r="426" spans="1:24" ht="33" customHeight="1" x14ac:dyDescent="0.35">
      <c r="A426" s="901"/>
      <c r="B426" s="2503"/>
      <c r="C426" s="2503"/>
      <c r="D426" s="2503"/>
      <c r="E426" s="2503"/>
      <c r="F426" s="2503"/>
      <c r="G426" s="2503"/>
      <c r="H426" s="2503"/>
      <c r="I426" s="2503"/>
      <c r="J426" s="900"/>
      <c r="L426" s="468"/>
      <c r="M426" s="468"/>
      <c r="N426" s="468"/>
      <c r="O426" s="468"/>
      <c r="P426" s="468"/>
      <c r="Q426" s="468"/>
      <c r="R426" s="468"/>
      <c r="S426" s="468"/>
      <c r="T426" s="468"/>
      <c r="U426" s="468"/>
      <c r="V426" s="468"/>
      <c r="W426" s="468"/>
      <c r="X426" s="468"/>
    </row>
    <row r="427" spans="1:24" x14ac:dyDescent="0.35">
      <c r="A427" s="901"/>
      <c r="B427" s="2766" t="s">
        <v>2002</v>
      </c>
      <c r="C427" s="2766"/>
      <c r="D427" s="2766"/>
      <c r="E427" s="2766"/>
      <c r="F427" s="2766"/>
      <c r="G427" s="2766"/>
      <c r="H427" s="2766"/>
      <c r="I427" s="2766"/>
      <c r="J427" s="900"/>
      <c r="M427" s="468"/>
      <c r="N427" s="468"/>
      <c r="O427" s="468"/>
      <c r="P427" s="468"/>
      <c r="Q427" s="468"/>
      <c r="R427" s="468"/>
      <c r="S427" s="468"/>
      <c r="T427" s="468"/>
      <c r="U427" s="468"/>
      <c r="V427" s="468"/>
      <c r="W427" s="468"/>
      <c r="X427" s="468"/>
    </row>
    <row r="428" spans="1:24" s="468" customFormat="1" x14ac:dyDescent="0.35">
      <c r="A428" s="939"/>
      <c r="B428" s="2767"/>
      <c r="C428" s="2767"/>
      <c r="D428" s="2767"/>
      <c r="E428" s="2767"/>
      <c r="F428" s="2767"/>
      <c r="G428" s="2767"/>
      <c r="H428" s="2767"/>
      <c r="I428" s="2767"/>
      <c r="J428" s="900"/>
      <c r="K428" s="544"/>
      <c r="L428" s="311"/>
      <c r="M428" s="311"/>
      <c r="N428" s="311"/>
      <c r="O428" s="311"/>
      <c r="P428" s="311"/>
      <c r="Q428" s="311"/>
      <c r="R428" s="311"/>
      <c r="S428" s="311"/>
      <c r="T428" s="311"/>
      <c r="U428" s="311"/>
      <c r="V428" s="311"/>
      <c r="W428" s="311"/>
      <c r="X428" s="311"/>
    </row>
    <row r="429" spans="1:24" s="266" customFormat="1" x14ac:dyDescent="0.35">
      <c r="A429" s="901"/>
      <c r="B429" s="720"/>
      <c r="C429" s="750"/>
      <c r="D429" s="750"/>
      <c r="E429" s="750"/>
      <c r="F429" s="750"/>
      <c r="G429" s="750"/>
      <c r="H429" s="750"/>
      <c r="I429" s="750"/>
      <c r="J429" s="974"/>
      <c r="K429" s="267"/>
      <c r="L429"/>
      <c r="M429"/>
      <c r="N429"/>
      <c r="O429"/>
      <c r="P429"/>
      <c r="Q429"/>
      <c r="R429"/>
      <c r="S429"/>
      <c r="T429"/>
      <c r="U429"/>
      <c r="V429"/>
      <c r="W429"/>
      <c r="X429"/>
    </row>
    <row r="430" spans="1:24" x14ac:dyDescent="0.35">
      <c r="A430" s="2508" t="str">
        <f>"Akumulasi Penyusutan dan Amortisasi Aset Lainnya  "&amp;TEXT(Input!$I$699,"Rp#.##0")</f>
        <v>Akumulasi Penyusutan dan Amortisasi Aset Lainnya  -Rp79.907.000</v>
      </c>
      <c r="B430" s="911" t="s">
        <v>2005</v>
      </c>
      <c r="C430" s="738"/>
      <c r="D430" s="904"/>
      <c r="E430" s="904"/>
      <c r="F430" s="904"/>
      <c r="G430" s="904"/>
      <c r="H430" s="904"/>
      <c r="I430" s="904"/>
      <c r="J430" s="900"/>
      <c r="L430" s="468"/>
      <c r="M430" s="468"/>
      <c r="N430" s="468"/>
      <c r="O430" s="468"/>
      <c r="P430" s="468"/>
      <c r="Q430" s="468"/>
      <c r="R430" s="468"/>
      <c r="S430" s="468"/>
      <c r="T430" s="468"/>
      <c r="U430" s="468"/>
      <c r="V430" s="468"/>
      <c r="W430" s="468"/>
      <c r="X430" s="468"/>
    </row>
    <row r="431" spans="1:24" x14ac:dyDescent="0.35">
      <c r="A431" s="2508"/>
      <c r="B431" s="2192" t="str">
        <f>"Saldo Akumulasi Penyusutan dan Amortisasi Aset Lainnya per "&amp;Input!Q24&amp;" dan "&amp;Input!$T$25&amp;"  adalah masing-masing "&amp;TEXT(Input!$I$699,"Rp#.##0")&amp;" dan "&amp;TEXT(Input!$K$699,"Rp#.##0")&amp;". "&amp;"Akumulasi Penyusutan Aset Lainnya merupakan kontra akun Aset Lainnya yang disajikan berdasarkan pengakumulasian atas penyesuaian nilai sehubungan dengan penurunan kapasitas dan manfaat Aset Lainnya. "&amp;"Rincian Akumulasi Penyusutan Aset Lainnya per "&amp;Input!Q24&amp;" adalah sebagai berikut :"</f>
        <v>Saldo Akumulasi Penyusutan dan Amortisasi Aset Lainnya per 31 Desember 2019 dan 31 Desember 2018  adalah masing-masing -Rp79.907.000 dan -Rp79.907.000. Akumulasi Penyusutan Aset Lainnya merupakan kontra akun Aset Lainnya yang disajikan berdasarkan pengakumulasian atas penyesuaian nilai sehubungan dengan penurunan kapasitas dan manfaat Aset Lainnya. Rincian Akumulasi Penyusutan Aset Lainnya per 31 Desember 2019 adalah sebagai berikut :</v>
      </c>
      <c r="C431" s="2192"/>
      <c r="D431" s="2192"/>
      <c r="E431" s="2192"/>
      <c r="F431" s="2192"/>
      <c r="G431" s="2192"/>
      <c r="H431" s="2192"/>
      <c r="I431" s="2192"/>
      <c r="J431" s="905"/>
      <c r="L431" s="306"/>
      <c r="M431" s="306"/>
      <c r="N431" s="306"/>
      <c r="O431" s="306"/>
      <c r="P431" s="306"/>
      <c r="Q431" s="306"/>
      <c r="R431" s="306"/>
      <c r="S431" s="306"/>
      <c r="T431" s="306"/>
      <c r="U431" s="306"/>
      <c r="V431" s="306"/>
      <c r="W431" s="306"/>
      <c r="X431" s="306"/>
    </row>
    <row r="432" spans="1:24" s="468" customFormat="1" x14ac:dyDescent="0.35">
      <c r="A432" s="2362"/>
      <c r="B432" s="2192"/>
      <c r="C432" s="2192"/>
      <c r="D432" s="2192"/>
      <c r="E432" s="2192"/>
      <c r="F432" s="2192"/>
      <c r="G432" s="2192"/>
      <c r="H432" s="2192"/>
      <c r="I432" s="2192"/>
      <c r="J432" s="905"/>
      <c r="K432" s="544"/>
      <c r="L432"/>
      <c r="M432"/>
      <c r="N432"/>
      <c r="O432"/>
      <c r="P432"/>
      <c r="Q432"/>
      <c r="R432"/>
      <c r="S432"/>
      <c r="T432"/>
      <c r="U432"/>
      <c r="V432"/>
      <c r="W432"/>
      <c r="X432"/>
    </row>
    <row r="433" spans="1:24" s="468" customFormat="1" x14ac:dyDescent="0.35">
      <c r="A433" s="2362"/>
      <c r="B433" s="2192"/>
      <c r="C433" s="2192"/>
      <c r="D433" s="2192"/>
      <c r="E433" s="2192"/>
      <c r="F433" s="2192"/>
      <c r="G433" s="2192"/>
      <c r="H433" s="2192"/>
      <c r="I433" s="2192"/>
      <c r="J433" s="905"/>
      <c r="K433" s="544"/>
      <c r="L433"/>
      <c r="M433"/>
      <c r="N433"/>
      <c r="O433"/>
      <c r="P433"/>
      <c r="Q433"/>
      <c r="R433"/>
      <c r="S433"/>
      <c r="T433"/>
      <c r="U433"/>
      <c r="V433"/>
      <c r="W433"/>
      <c r="X433"/>
    </row>
    <row r="434" spans="1:24" s="468" customFormat="1" ht="45.75" customHeight="1" x14ac:dyDescent="0.35">
      <c r="A434" s="2362"/>
      <c r="B434" s="2192"/>
      <c r="C434" s="2192"/>
      <c r="D434" s="2192"/>
      <c r="E434" s="2192"/>
      <c r="F434" s="2192"/>
      <c r="G434" s="2192"/>
      <c r="H434" s="2192"/>
      <c r="I434" s="2192"/>
      <c r="J434" s="905"/>
      <c r="K434" s="544"/>
    </row>
    <row r="435" spans="1:24" ht="15.75" customHeight="1" x14ac:dyDescent="0.35">
      <c r="A435" s="901"/>
      <c r="B435" s="2490" t="s">
        <v>2003</v>
      </c>
      <c r="C435" s="2490"/>
      <c r="D435" s="2490"/>
      <c r="E435" s="2490"/>
      <c r="F435" s="2490"/>
      <c r="G435" s="2490"/>
      <c r="H435" s="2490"/>
      <c r="I435" s="720"/>
      <c r="J435" s="905"/>
      <c r="L435" s="468"/>
      <c r="M435" s="468"/>
      <c r="N435" s="468"/>
      <c r="O435" s="468"/>
      <c r="P435" s="468"/>
      <c r="Q435" s="468"/>
      <c r="R435" s="468"/>
      <c r="S435" s="468"/>
      <c r="T435" s="468"/>
      <c r="U435" s="468"/>
      <c r="V435" s="468"/>
      <c r="W435" s="468"/>
      <c r="X435" s="468"/>
    </row>
    <row r="436" spans="1:24" ht="45" x14ac:dyDescent="0.35">
      <c r="A436" s="901"/>
      <c r="B436" s="2588" t="s">
        <v>50</v>
      </c>
      <c r="C436" s="2589"/>
      <c r="D436" s="967" t="s">
        <v>1779</v>
      </c>
      <c r="E436" s="968" t="s">
        <v>1782</v>
      </c>
      <c r="F436" s="2491" t="s">
        <v>1780</v>
      </c>
      <c r="G436" s="2491"/>
      <c r="H436" s="2491"/>
      <c r="I436" s="904"/>
      <c r="J436" s="900"/>
      <c r="L436" s="468"/>
      <c r="M436" s="468"/>
      <c r="N436" s="468"/>
      <c r="O436" s="468"/>
      <c r="P436" s="468"/>
      <c r="Q436" s="468"/>
      <c r="R436" s="468"/>
      <c r="S436" s="468"/>
      <c r="T436" s="468"/>
      <c r="U436" s="468"/>
      <c r="V436" s="468"/>
      <c r="W436" s="468"/>
      <c r="X436" s="468"/>
    </row>
    <row r="437" spans="1:24" s="311" customFormat="1" x14ac:dyDescent="0.35">
      <c r="A437" s="901"/>
      <c r="B437" s="2694" t="str">
        <f>Input!C697</f>
        <v>Aset Tak Berwujud</v>
      </c>
      <c r="C437" s="2695"/>
      <c r="D437" s="972">
        <f>Input!I697</f>
        <v>0</v>
      </c>
      <c r="E437" s="1013"/>
      <c r="F437" s="2492">
        <f>D437-E437</f>
        <v>0</v>
      </c>
      <c r="G437" s="2492"/>
      <c r="H437" s="2492"/>
      <c r="I437" s="904"/>
      <c r="J437" s="900"/>
      <c r="K437" s="312"/>
      <c r="L437" s="468"/>
      <c r="M437" s="468"/>
      <c r="N437" s="468"/>
      <c r="O437" s="468"/>
      <c r="P437" s="468"/>
      <c r="Q437" s="468"/>
      <c r="R437" s="468"/>
      <c r="S437" s="468"/>
      <c r="T437" s="468"/>
      <c r="U437" s="468"/>
      <c r="V437" s="468"/>
      <c r="W437" s="468"/>
      <c r="X437" s="468"/>
    </row>
    <row r="438" spans="1:24" s="468" customFormat="1" x14ac:dyDescent="0.35">
      <c r="A438" s="1331"/>
      <c r="B438" s="2694" t="s">
        <v>2217</v>
      </c>
      <c r="C438" s="2695"/>
      <c r="D438" s="1330">
        <v>0</v>
      </c>
      <c r="E438" s="1013"/>
      <c r="F438" s="2492">
        <f>D438-E438</f>
        <v>0</v>
      </c>
      <c r="G438" s="2492"/>
      <c r="H438" s="2492"/>
      <c r="I438" s="904"/>
      <c r="J438" s="900"/>
      <c r="K438" s="544"/>
      <c r="L438"/>
      <c r="M438"/>
      <c r="N438"/>
      <c r="O438"/>
      <c r="P438"/>
      <c r="Q438"/>
      <c r="R438"/>
      <c r="S438"/>
      <c r="T438"/>
      <c r="U438"/>
      <c r="V438"/>
      <c r="W438"/>
      <c r="X438"/>
    </row>
    <row r="439" spans="1:24" s="468" customFormat="1" x14ac:dyDescent="0.35">
      <c r="A439" s="1331"/>
      <c r="B439" s="2696" t="s">
        <v>116</v>
      </c>
      <c r="C439" s="2697"/>
      <c r="D439" s="1013">
        <f>SUM(D437:D438)</f>
        <v>0</v>
      </c>
      <c r="E439" s="1013">
        <f>SUM(E437:E438)</f>
        <v>0</v>
      </c>
      <c r="F439" s="2489">
        <f>D439-E439</f>
        <v>0</v>
      </c>
      <c r="G439" s="2489"/>
      <c r="H439" s="2489"/>
      <c r="I439" s="904"/>
      <c r="J439" s="900"/>
      <c r="K439" s="544"/>
      <c r="L439" s="462" t="s">
        <v>1781</v>
      </c>
      <c r="M439"/>
      <c r="N439"/>
      <c r="O439"/>
      <c r="P439"/>
      <c r="Q439"/>
      <c r="R439"/>
      <c r="S439"/>
      <c r="T439"/>
      <c r="U439"/>
      <c r="V439"/>
      <c r="W439"/>
      <c r="X439"/>
    </row>
    <row r="440" spans="1:24" s="311" customFormat="1" x14ac:dyDescent="0.35">
      <c r="A440" s="901"/>
      <c r="B440" s="2694" t="str">
        <f>Input!C698</f>
        <v>Aset Lain-lain</v>
      </c>
      <c r="C440" s="2695"/>
      <c r="D440" s="1020">
        <f>Input!I698</f>
        <v>79907000</v>
      </c>
      <c r="E440" s="1013">
        <v>0</v>
      </c>
      <c r="F440" s="2492">
        <f>D440-E440</f>
        <v>79907000</v>
      </c>
      <c r="G440" s="2492"/>
      <c r="H440" s="2492"/>
      <c r="I440" s="904"/>
      <c r="J440" s="900"/>
      <c r="K440" s="312"/>
      <c r="L440" s="468"/>
      <c r="M440" s="468"/>
      <c r="N440" s="468"/>
      <c r="O440" s="468"/>
      <c r="P440" s="468"/>
      <c r="Q440" s="468"/>
      <c r="R440" s="468"/>
      <c r="S440" s="468"/>
      <c r="T440" s="468"/>
      <c r="U440" s="468"/>
      <c r="V440" s="468"/>
      <c r="W440" s="468"/>
      <c r="X440" s="468"/>
    </row>
    <row r="441" spans="1:24" ht="20.25" customHeight="1" x14ac:dyDescent="0.35">
      <c r="A441" s="901"/>
      <c r="B441" s="2675" t="s">
        <v>116</v>
      </c>
      <c r="C441" s="2676"/>
      <c r="D441" s="1339">
        <f>SUM(D437:D440)</f>
        <v>79907000</v>
      </c>
      <c r="E441" s="1339">
        <f>SUM(E437:E440)</f>
        <v>0</v>
      </c>
      <c r="F441" s="2677">
        <f>SUM(F437:F440)</f>
        <v>79907000</v>
      </c>
      <c r="G441" s="2678"/>
      <c r="H441" s="2678"/>
      <c r="I441" s="1338"/>
      <c r="J441" s="735"/>
      <c r="L441" s="468"/>
      <c r="M441" s="468"/>
      <c r="N441" s="468"/>
      <c r="O441" s="468"/>
      <c r="P441" s="468"/>
      <c r="Q441" s="468"/>
      <c r="R441" s="468"/>
      <c r="S441" s="468"/>
      <c r="T441" s="468"/>
      <c r="U441" s="468"/>
      <c r="V441" s="468"/>
      <c r="W441" s="468"/>
      <c r="X441" s="468"/>
    </row>
    <row r="442" spans="1:24" s="468" customFormat="1" ht="48" customHeight="1" x14ac:dyDescent="0.35">
      <c r="A442" s="1319"/>
      <c r="B442" s="2777" t="s">
        <v>2163</v>
      </c>
      <c r="C442" s="2778"/>
      <c r="D442" s="2778"/>
      <c r="E442" s="2778"/>
      <c r="F442" s="2778"/>
      <c r="G442" s="2778"/>
      <c r="H442" s="2778"/>
      <c r="I442" s="1337"/>
      <c r="J442" s="735"/>
      <c r="K442" s="544"/>
    </row>
    <row r="443" spans="1:24" s="306" customFormat="1" x14ac:dyDescent="0.35">
      <c r="A443" s="901"/>
      <c r="B443" s="2786"/>
      <c r="C443" s="2786"/>
      <c r="D443" s="2786"/>
      <c r="E443" s="2786"/>
      <c r="F443" s="2786"/>
      <c r="G443" s="2786"/>
      <c r="H443" s="2786"/>
      <c r="I443" s="751"/>
      <c r="J443" s="905"/>
      <c r="K443" s="307"/>
      <c r="L443" s="468"/>
      <c r="M443" s="468"/>
      <c r="N443" s="468"/>
      <c r="O443" s="468"/>
      <c r="P443" s="468"/>
      <c r="Q443" s="468"/>
      <c r="R443" s="468"/>
      <c r="S443" s="468"/>
      <c r="T443" s="468"/>
      <c r="U443" s="468"/>
      <c r="V443" s="468"/>
      <c r="W443" s="468"/>
      <c r="X443" s="468"/>
    </row>
    <row r="444" spans="1:24" x14ac:dyDescent="0.35">
      <c r="A444" s="2508" t="str">
        <f>"Uang Muka dari KPPN "&amp;TEXT(Input!$I$706,"Rp#.##0")</f>
        <v>Uang Muka dari KPPN Rp0</v>
      </c>
      <c r="B444" s="911" t="s">
        <v>2004</v>
      </c>
      <c r="C444" s="738"/>
      <c r="D444" s="798"/>
      <c r="E444" s="738"/>
      <c r="F444" s="798"/>
      <c r="G444" s="738"/>
      <c r="H444" s="798"/>
      <c r="I444" s="738"/>
      <c r="J444" s="900"/>
      <c r="L444" s="468"/>
      <c r="M444" s="468"/>
      <c r="N444" s="468"/>
      <c r="O444" s="468"/>
      <c r="P444" s="468"/>
      <c r="Q444" s="468"/>
      <c r="R444" s="468"/>
      <c r="S444" s="468"/>
      <c r="T444" s="468"/>
      <c r="U444" s="468"/>
      <c r="V444" s="468"/>
      <c r="W444" s="468"/>
      <c r="X444" s="468"/>
    </row>
    <row r="445" spans="1:24" x14ac:dyDescent="0.35">
      <c r="A445" s="2508"/>
      <c r="B445" s="2192" t="str">
        <f>"Saldo Uang Muka dari KPPN per "&amp;Input!Q24&amp;" dan "&amp;Input!$T$25&amp;" masing-masing adalah sebesar "&amp;TEXT(Input!$I$706,"Rp#.##0")&amp;" dan "&amp;TEXT(Input!$K$706,"Rp#.##0")&amp;". Uang Muka dari KPPN merupakan Uang Persediaan (UP) atau Tambahan Uang Persediaan (TUP) yang diberikan KPPN sebagai uang muka kerja yang masih berada pada atau dikuasai oleh Bendahara Pengeluaran pada tanggal pelaporan."</f>
        <v>Saldo Uang Muka dari KPPN per 31 Desember 2019 dan 31 Desember 2018 masing-masing adalah sebesar Rp0 dan Rp0. Uang Muka dari KPPN merupakan Uang Persediaan (UP) atau Tambahan Uang Persediaan (TUP) yang diberikan KPPN sebagai uang muka kerja yang masih berada pada atau dikuasai oleh Bendahara Pengeluaran pada tanggal pelaporan.</v>
      </c>
      <c r="C445" s="2192"/>
      <c r="D445" s="2192"/>
      <c r="E445" s="2192"/>
      <c r="F445" s="2192"/>
      <c r="G445" s="2192"/>
      <c r="H445" s="2192"/>
      <c r="I445" s="2192"/>
      <c r="J445" s="905"/>
    </row>
    <row r="446" spans="1:24" s="468" customFormat="1" x14ac:dyDescent="0.35">
      <c r="A446" s="2362"/>
      <c r="B446" s="2192"/>
      <c r="C446" s="2192"/>
      <c r="D446" s="2192"/>
      <c r="E446" s="2192"/>
      <c r="F446" s="2192"/>
      <c r="G446" s="2192"/>
      <c r="H446" s="2192"/>
      <c r="I446" s="2192"/>
      <c r="J446" s="905"/>
      <c r="K446" s="544"/>
      <c r="L446"/>
      <c r="M446"/>
      <c r="N446"/>
      <c r="O446"/>
      <c r="P446"/>
      <c r="Q446"/>
      <c r="R446"/>
      <c r="S446"/>
      <c r="T446"/>
      <c r="U446"/>
      <c r="V446"/>
      <c r="W446"/>
      <c r="X446"/>
    </row>
    <row r="447" spans="1:24" s="468" customFormat="1" x14ac:dyDescent="0.35">
      <c r="A447" s="912"/>
      <c r="B447" s="2192"/>
      <c r="C447" s="2192"/>
      <c r="D447" s="2192"/>
      <c r="E447" s="2192"/>
      <c r="F447" s="2192"/>
      <c r="G447" s="2192"/>
      <c r="H447" s="2192"/>
      <c r="I447" s="2192"/>
      <c r="J447" s="905"/>
      <c r="K447" s="544"/>
      <c r="L447"/>
      <c r="M447"/>
      <c r="N447"/>
      <c r="O447"/>
      <c r="P447"/>
      <c r="Q447"/>
      <c r="R447"/>
      <c r="S447"/>
      <c r="T447"/>
      <c r="U447"/>
      <c r="V447"/>
      <c r="W447"/>
      <c r="X447"/>
    </row>
    <row r="448" spans="1:24" s="468" customFormat="1" x14ac:dyDescent="0.35">
      <c r="A448" s="912"/>
      <c r="B448" s="2118"/>
      <c r="C448" s="2118"/>
      <c r="D448" s="2118"/>
      <c r="E448" s="2118"/>
      <c r="F448" s="2118"/>
      <c r="G448" s="2118"/>
      <c r="H448" s="2118"/>
      <c r="I448" s="2118"/>
      <c r="J448" s="905"/>
      <c r="K448" s="544"/>
      <c r="L448"/>
      <c r="M448"/>
      <c r="N448"/>
      <c r="O448"/>
      <c r="P448"/>
      <c r="Q448"/>
      <c r="R448"/>
      <c r="S448"/>
      <c r="T448"/>
      <c r="U448"/>
      <c r="V448"/>
      <c r="W448"/>
      <c r="X448"/>
    </row>
    <row r="449" spans="1:24" s="468" customFormat="1" x14ac:dyDescent="0.35">
      <c r="A449" s="912"/>
      <c r="B449" s="845"/>
      <c r="C449" s="845"/>
      <c r="D449" s="845"/>
      <c r="E449" s="845"/>
      <c r="F449" s="845"/>
      <c r="G449" s="845"/>
      <c r="H449" s="845"/>
      <c r="I449" s="845"/>
      <c r="J449" s="905"/>
      <c r="K449" s="544"/>
      <c r="L449" s="426"/>
      <c r="M449" s="426"/>
      <c r="N449" s="426"/>
      <c r="O449" s="426"/>
      <c r="P449" s="426"/>
      <c r="Q449" s="426"/>
      <c r="R449" s="426"/>
      <c r="S449" s="426"/>
      <c r="T449" s="426"/>
      <c r="U449" s="426"/>
      <c r="V449" s="426"/>
      <c r="W449" s="426"/>
      <c r="X449" s="426"/>
    </row>
    <row r="450" spans="1:24" x14ac:dyDescent="0.35">
      <c r="A450" s="2508" t="str">
        <f>"Utang kepada Pihak Ketiga "&amp;TEXT(Input!$I$707,"Rp#.##0")</f>
        <v>Utang kepada Pihak Ketiga Rp0</v>
      </c>
      <c r="B450" s="911" t="s">
        <v>2006</v>
      </c>
      <c r="C450" s="738"/>
      <c r="D450" s="798"/>
      <c r="E450" s="798"/>
      <c r="F450" s="798"/>
      <c r="G450" s="798"/>
      <c r="H450" s="798"/>
      <c r="I450" s="798"/>
      <c r="J450" s="900"/>
    </row>
    <row r="451" spans="1:24" x14ac:dyDescent="0.35">
      <c r="A451" s="2508"/>
      <c r="B451" s="2192" t="str">
        <f>"Nilai Utang kepada Pihak Ketiga per "&amp;Input!Q24&amp;" dan "&amp;Input!$T$25&amp;" masing-masing adalah sebesar "&amp;TEXT(Input!$I$707,"Rp#.##0")&amp;" dan "&amp;TEXT(Input!$K$707,"Rp#.##0")&amp;". Utang kepada Pihak Ketiga merupakan belanja yang masih harus dibayar dan merupakan kewajiban yang harus segera diselesaikan kepada pihak ketiga lainnya dalam waktu kurang dari 12 (dua belas bulan). "&amp;"Adapun rincian Utang Pihak Ketiga pada lingkup "&amp;Input!$M$13&amp;" per tanggal pelaporan adalah sebagai berikut : "</f>
        <v xml:space="preserve">Nilai Utang kepada Pihak Ketiga per 31 Desember 2019 dan 31 Desember 2018 masing-masing adalah sebesar Rp0 dan Rp0. Utang kepada Pihak Ketiga merupakan belanja yang masih harus dibayar dan merupakan kewajiban yang harus segera diselesaikan kepada pihak ketiga lainnya dalam waktu kurang dari 12 (dua belas bulan). Adapun rincian Utang Pihak Ketiga pada lingkup BALAI PELESTARIAN NILAI BUDAYA BALI per tanggal pelaporan adalah sebagai berikut : </v>
      </c>
      <c r="C451" s="2192"/>
      <c r="D451" s="2192"/>
      <c r="E451" s="2192"/>
      <c r="F451" s="2192"/>
      <c r="G451" s="2192"/>
      <c r="H451" s="2192"/>
      <c r="I451" s="2192"/>
      <c r="J451" s="905"/>
      <c r="K451" s="464"/>
      <c r="L451" s="313"/>
      <c r="M451" s="313"/>
      <c r="N451" s="313"/>
      <c r="O451" s="313"/>
      <c r="P451" s="313"/>
      <c r="Q451" s="313"/>
      <c r="R451" s="313"/>
      <c r="S451" s="313"/>
      <c r="T451" s="313"/>
      <c r="U451" s="313"/>
      <c r="V451" s="313"/>
      <c r="W451" s="313"/>
      <c r="X451" s="313"/>
    </row>
    <row r="452" spans="1:24" s="468" customFormat="1" x14ac:dyDescent="0.35">
      <c r="A452" s="2362"/>
      <c r="B452" s="2192"/>
      <c r="C452" s="2192"/>
      <c r="D452" s="2192"/>
      <c r="E452" s="2192"/>
      <c r="F452" s="2192"/>
      <c r="G452" s="2192"/>
      <c r="H452" s="2192"/>
      <c r="I452" s="2192"/>
      <c r="J452" s="905"/>
      <c r="K452" s="464"/>
    </row>
    <row r="453" spans="1:24" s="468" customFormat="1" x14ac:dyDescent="0.35">
      <c r="A453" s="912"/>
      <c r="B453" s="2192"/>
      <c r="C453" s="2192"/>
      <c r="D453" s="2192"/>
      <c r="E453" s="2192"/>
      <c r="F453" s="2192"/>
      <c r="G453" s="2192"/>
      <c r="H453" s="2192"/>
      <c r="I453" s="2192"/>
      <c r="J453" s="905"/>
      <c r="K453" s="464"/>
      <c r="L453"/>
      <c r="M453"/>
      <c r="N453"/>
      <c r="O453"/>
      <c r="P453"/>
      <c r="Q453"/>
      <c r="R453"/>
      <c r="S453"/>
      <c r="T453"/>
      <c r="U453"/>
      <c r="V453"/>
      <c r="W453"/>
      <c r="X453"/>
    </row>
    <row r="454" spans="1:24" s="468" customFormat="1" x14ac:dyDescent="0.35">
      <c r="A454" s="912"/>
      <c r="B454" s="2192"/>
      <c r="C454" s="2192"/>
      <c r="D454" s="2192"/>
      <c r="E454" s="2192"/>
      <c r="F454" s="2192"/>
      <c r="G454" s="2192"/>
      <c r="H454" s="2192"/>
      <c r="I454" s="2192"/>
      <c r="J454" s="905"/>
      <c r="K454" s="464"/>
      <c r="L454"/>
      <c r="M454"/>
      <c r="N454"/>
      <c r="O454"/>
      <c r="P454"/>
      <c r="Q454"/>
      <c r="R454"/>
      <c r="S454"/>
      <c r="T454"/>
      <c r="U454"/>
      <c r="V454"/>
      <c r="W454"/>
      <c r="X454"/>
    </row>
    <row r="455" spans="1:24" s="468" customFormat="1" x14ac:dyDescent="0.35">
      <c r="A455" s="912"/>
      <c r="B455" s="2192"/>
      <c r="C455" s="2192"/>
      <c r="D455" s="2192"/>
      <c r="E455" s="2192"/>
      <c r="F455" s="2192"/>
      <c r="G455" s="2192"/>
      <c r="H455" s="2192"/>
      <c r="I455" s="2192"/>
      <c r="J455" s="905"/>
      <c r="K455" s="464"/>
    </row>
    <row r="456" spans="1:24" s="468" customFormat="1" ht="8.25" customHeight="1" x14ac:dyDescent="0.35">
      <c r="A456" s="912"/>
      <c r="B456" s="2118"/>
      <c r="C456" s="2118"/>
      <c r="D456" s="2118"/>
      <c r="E456" s="2118"/>
      <c r="F456" s="2118"/>
      <c r="G456" s="2118"/>
      <c r="H456" s="2118"/>
      <c r="I456" s="2118"/>
      <c r="J456" s="905"/>
      <c r="K456" s="464"/>
    </row>
    <row r="457" spans="1:24" x14ac:dyDescent="0.35">
      <c r="A457" s="901"/>
      <c r="B457" s="2490" t="s">
        <v>2167</v>
      </c>
      <c r="C457" s="2490"/>
      <c r="D457" s="2490"/>
      <c r="E457" s="2579"/>
      <c r="F457" s="2579"/>
      <c r="G457" s="2579"/>
      <c r="H457" s="2579"/>
      <c r="I457" s="904"/>
      <c r="J457" s="900"/>
      <c r="L457" s="468"/>
      <c r="M457" s="468"/>
      <c r="N457" s="468"/>
      <c r="O457" s="468"/>
      <c r="P457" s="468"/>
      <c r="Q457" s="468"/>
      <c r="R457" s="468"/>
      <c r="S457" s="468"/>
      <c r="T457" s="468"/>
      <c r="U457" s="468"/>
      <c r="V457" s="468"/>
      <c r="W457" s="468"/>
      <c r="X457" s="468"/>
    </row>
    <row r="458" spans="1:24" x14ac:dyDescent="0.35">
      <c r="A458" s="901"/>
      <c r="B458" s="2757" t="s">
        <v>45</v>
      </c>
      <c r="C458" s="2782"/>
      <c r="D458" s="2758"/>
      <c r="E458" s="1340" t="s">
        <v>116</v>
      </c>
      <c r="F458" s="2779" t="s">
        <v>142</v>
      </c>
      <c r="G458" s="2779"/>
      <c r="H458" s="2779"/>
      <c r="I458" s="2779"/>
      <c r="J458" s="900"/>
      <c r="L458" s="468"/>
      <c r="M458" s="468"/>
      <c r="N458" s="468"/>
      <c r="O458" s="468"/>
      <c r="P458" s="468"/>
      <c r="Q458" s="468"/>
      <c r="R458" s="468"/>
      <c r="S458" s="468"/>
      <c r="T458" s="468"/>
      <c r="U458" s="468"/>
      <c r="V458" s="468"/>
      <c r="W458" s="468"/>
      <c r="X458" s="468"/>
    </row>
    <row r="459" spans="1:24" x14ac:dyDescent="0.35">
      <c r="A459" s="901"/>
      <c r="B459" s="2783" t="s">
        <v>2164</v>
      </c>
      <c r="C459" s="2784"/>
      <c r="D459" s="2785"/>
      <c r="E459" s="1359"/>
      <c r="F459" s="2780"/>
      <c r="G459" s="2780"/>
      <c r="H459" s="2780"/>
      <c r="I459" s="2780"/>
      <c r="J459" s="900"/>
      <c r="L459" s="426"/>
      <c r="M459" s="426"/>
      <c r="N459" s="426"/>
      <c r="O459" s="426"/>
      <c r="P459" s="426"/>
      <c r="Q459" s="426"/>
      <c r="R459" s="426"/>
      <c r="S459" s="426"/>
      <c r="T459" s="426"/>
      <c r="U459" s="426"/>
      <c r="V459" s="426"/>
      <c r="W459" s="426"/>
      <c r="X459" s="426"/>
    </row>
    <row r="460" spans="1:24" x14ac:dyDescent="0.35">
      <c r="A460" s="901"/>
      <c r="B460" s="2783" t="s">
        <v>2165</v>
      </c>
      <c r="C460" s="2784"/>
      <c r="D460" s="2785"/>
      <c r="E460" s="1359"/>
      <c r="F460" s="2780"/>
      <c r="G460" s="2780"/>
      <c r="H460" s="2780"/>
      <c r="I460" s="2780"/>
      <c r="J460" s="900"/>
      <c r="L460" s="426"/>
      <c r="M460" s="426"/>
      <c r="N460" s="426"/>
      <c r="O460" s="426"/>
      <c r="P460" s="426"/>
      <c r="Q460" s="426"/>
      <c r="R460" s="426"/>
      <c r="S460" s="426"/>
      <c r="T460" s="426"/>
      <c r="U460" s="426"/>
      <c r="V460" s="426"/>
      <c r="W460" s="426"/>
      <c r="X460" s="426"/>
    </row>
    <row r="461" spans="1:24" s="426" customFormat="1" x14ac:dyDescent="0.35">
      <c r="A461" s="901"/>
      <c r="B461" s="2783" t="s">
        <v>1783</v>
      </c>
      <c r="C461" s="2784"/>
      <c r="D461" s="2785"/>
      <c r="E461" s="1359"/>
      <c r="F461" s="2780"/>
      <c r="G461" s="2780"/>
      <c r="H461" s="2780"/>
      <c r="I461" s="2780"/>
      <c r="J461" s="900"/>
      <c r="K461" s="425"/>
    </row>
    <row r="462" spans="1:24" x14ac:dyDescent="0.35">
      <c r="A462" s="901"/>
      <c r="B462" s="2272" t="s">
        <v>139</v>
      </c>
      <c r="C462" s="2776"/>
      <c r="D462" s="2273"/>
      <c r="E462" s="1360"/>
      <c r="F462" s="2781"/>
      <c r="G462" s="2781"/>
      <c r="H462" s="2781"/>
      <c r="I462" s="2781"/>
      <c r="J462" s="900"/>
      <c r="L462" s="426"/>
      <c r="M462" s="426"/>
      <c r="N462" s="426"/>
      <c r="O462" s="426"/>
      <c r="P462" s="426"/>
      <c r="Q462" s="426"/>
      <c r="R462" s="426"/>
      <c r="S462" s="426"/>
      <c r="T462" s="426"/>
      <c r="U462" s="426"/>
      <c r="V462" s="426"/>
      <c r="W462" s="426"/>
      <c r="X462" s="426"/>
    </row>
    <row r="463" spans="1:24" s="313" customFormat="1" ht="6.75" customHeight="1" x14ac:dyDescent="0.35">
      <c r="A463" s="901"/>
      <c r="B463" s="904"/>
      <c r="C463" s="904"/>
      <c r="D463" s="904"/>
      <c r="E463" s="904"/>
      <c r="F463" s="904"/>
      <c r="G463" s="904"/>
      <c r="H463" s="904"/>
      <c r="I463" s="904"/>
      <c r="J463" s="900"/>
      <c r="K463" s="314"/>
      <c r="L463" s="426"/>
      <c r="M463" s="426"/>
      <c r="N463" s="426"/>
      <c r="O463" s="426"/>
      <c r="P463" s="426"/>
      <c r="Q463" s="426"/>
      <c r="R463" s="426"/>
      <c r="S463" s="426"/>
      <c r="T463" s="426"/>
      <c r="U463" s="426"/>
      <c r="V463" s="426"/>
      <c r="W463" s="426"/>
      <c r="X463" s="426"/>
    </row>
    <row r="464" spans="1:24" s="468" customFormat="1" ht="27" customHeight="1" x14ac:dyDescent="0.35">
      <c r="A464" s="939"/>
      <c r="B464" s="904"/>
      <c r="C464" s="904"/>
      <c r="D464" s="904"/>
      <c r="E464" s="904"/>
      <c r="F464" s="904"/>
      <c r="G464" s="904"/>
      <c r="H464" s="904"/>
      <c r="I464" s="904"/>
      <c r="J464" s="900"/>
      <c r="K464" s="544"/>
      <c r="L464" s="426"/>
      <c r="M464" s="426"/>
      <c r="N464" s="426"/>
      <c r="O464" s="426"/>
      <c r="P464" s="426"/>
      <c r="Q464" s="426"/>
      <c r="R464" s="426"/>
      <c r="S464" s="426"/>
      <c r="T464" s="426"/>
      <c r="U464" s="426"/>
      <c r="V464" s="426"/>
      <c r="W464" s="426"/>
      <c r="X464" s="426"/>
    </row>
    <row r="465" spans="1:24" x14ac:dyDescent="0.35">
      <c r="A465" s="2508" t="str">
        <f>"Pendapatan Diterima di Muka "&amp;TEXT(Input!$I$710,"Rp#.##0")</f>
        <v>Pendapatan Diterima di Muka Rp0</v>
      </c>
      <c r="B465" s="911" t="s">
        <v>2166</v>
      </c>
      <c r="C465" s="738"/>
      <c r="D465" s="798"/>
      <c r="E465" s="798"/>
      <c r="F465" s="798"/>
      <c r="G465" s="798"/>
      <c r="H465" s="798"/>
      <c r="I465" s="798"/>
      <c r="J465" s="900"/>
      <c r="L465" s="468"/>
      <c r="M465" s="468"/>
      <c r="N465" s="468"/>
      <c r="O465" s="468"/>
      <c r="P465" s="468"/>
      <c r="Q465" s="468"/>
      <c r="R465" s="468"/>
      <c r="S465" s="468"/>
      <c r="T465" s="468"/>
      <c r="U465" s="468"/>
      <c r="V465" s="468"/>
      <c r="W465" s="468"/>
      <c r="X465" s="468"/>
    </row>
    <row r="466" spans="1:24" ht="15.75" customHeight="1" x14ac:dyDescent="0.35">
      <c r="A466" s="2508"/>
      <c r="B466" s="2192" t="str">
        <f>"Nilai Pendapatan Diterima di Muka per "&amp;Input!$Q$24&amp;" dan "&amp;Input!$Y$25&amp;" sebesar "&amp;TEXT(Input!$I$710,"Rp#.##0")&amp;" dan "&amp;TEXT(Input!$K$710,"Rp#.##0")&amp;". Pendapatan Diterima di Muka merupakan pendapatan yang sudah diterima pembayarannya, namun barang/jasa belum diserahkan."&amp;" Keseluruhan Pendapatan Diterima Dimuka tersebut bersumber dari jasa Konsultasi akuntansi yang jangka waktu kontraknya lebih dari satu tahun, dengan rincian sebagai berikut:"</f>
        <v>Nilai Pendapatan Diterima di Muka per 31 Desember 2019 dan 2018 sebesar Rp0 dan Rp0. Pendapatan Diterima di Muka merupakan pendapatan yang sudah diterima pembayarannya, namun barang/jasa belum diserahkan. Keseluruhan Pendapatan Diterima Dimuka tersebut bersumber dari jasa Konsultasi akuntansi yang jangka waktu kontraknya lebih dari satu tahun, dengan rincian sebagai berikut:</v>
      </c>
      <c r="C466" s="2192"/>
      <c r="D466" s="2192"/>
      <c r="E466" s="2192"/>
      <c r="F466" s="2192"/>
      <c r="G466" s="2192"/>
      <c r="H466" s="2192"/>
      <c r="I466" s="2192"/>
      <c r="J466" s="905"/>
      <c r="L466" s="468"/>
      <c r="M466" s="468"/>
      <c r="N466" s="468"/>
      <c r="O466" s="468"/>
      <c r="P466" s="468"/>
      <c r="Q466" s="468"/>
      <c r="R466" s="468"/>
      <c r="S466" s="468"/>
      <c r="T466" s="468"/>
      <c r="U466" s="468"/>
      <c r="V466" s="468"/>
      <c r="W466" s="468"/>
      <c r="X466" s="468"/>
    </row>
    <row r="467" spans="1:24" s="468" customFormat="1" x14ac:dyDescent="0.35">
      <c r="A467" s="2362"/>
      <c r="B467" s="2192"/>
      <c r="C467" s="2192"/>
      <c r="D467" s="2192"/>
      <c r="E467" s="2192"/>
      <c r="F467" s="2192"/>
      <c r="G467" s="2192"/>
      <c r="H467" s="2192"/>
      <c r="I467" s="2192"/>
      <c r="J467" s="905"/>
      <c r="K467" s="544"/>
    </row>
    <row r="468" spans="1:24" s="468" customFormat="1" x14ac:dyDescent="0.35">
      <c r="A468" s="912"/>
      <c r="B468" s="2192"/>
      <c r="C468" s="2192"/>
      <c r="D468" s="2192"/>
      <c r="E468" s="2192"/>
      <c r="F468" s="2192"/>
      <c r="G468" s="2192"/>
      <c r="H468" s="2192"/>
      <c r="I468" s="2192"/>
      <c r="J468" s="905"/>
      <c r="K468" s="544"/>
    </row>
    <row r="469" spans="1:24" s="468" customFormat="1" x14ac:dyDescent="0.35">
      <c r="A469" s="912"/>
      <c r="B469" s="2192"/>
      <c r="C469" s="2192"/>
      <c r="D469" s="2192"/>
      <c r="E469" s="2192"/>
      <c r="F469" s="2192"/>
      <c r="G469" s="2192"/>
      <c r="H469" s="2192"/>
      <c r="I469" s="2192"/>
      <c r="J469" s="905"/>
      <c r="K469" s="544"/>
    </row>
    <row r="470" spans="1:24" s="468" customFormat="1" ht="23.25" customHeight="1" x14ac:dyDescent="0.35">
      <c r="A470" s="912"/>
      <c r="B470" s="2192"/>
      <c r="C470" s="2192"/>
      <c r="D470" s="2192"/>
      <c r="E470" s="2192"/>
      <c r="F470" s="2192"/>
      <c r="G470" s="2192"/>
      <c r="H470" s="2192"/>
      <c r="I470" s="2192"/>
      <c r="J470" s="905"/>
      <c r="K470" s="544"/>
    </row>
    <row r="471" spans="1:24" s="426" customFormat="1" x14ac:dyDescent="0.35">
      <c r="A471" s="912"/>
      <c r="B471" s="2490" t="s">
        <v>2278</v>
      </c>
      <c r="C471" s="2490"/>
      <c r="D471" s="2490"/>
      <c r="E471" s="2490"/>
      <c r="F471" s="2490"/>
      <c r="G471" s="924"/>
      <c r="H471" s="924"/>
      <c r="I471" s="751"/>
      <c r="J471" s="905"/>
      <c r="K471" s="425"/>
      <c r="L471" s="468"/>
      <c r="M471" s="468"/>
      <c r="N471" s="468"/>
      <c r="O471" s="468"/>
      <c r="P471" s="468"/>
      <c r="Q471" s="468"/>
      <c r="R471" s="468"/>
      <c r="S471" s="468"/>
      <c r="T471" s="468"/>
      <c r="U471" s="468"/>
      <c r="V471" s="468"/>
      <c r="W471" s="468"/>
      <c r="X471" s="468"/>
    </row>
    <row r="472" spans="1:24" s="426" customFormat="1" x14ac:dyDescent="0.35">
      <c r="A472" s="912"/>
      <c r="B472" s="2491" t="s">
        <v>45</v>
      </c>
      <c r="C472" s="2491"/>
      <c r="D472" s="1321" t="s">
        <v>116</v>
      </c>
      <c r="E472" s="2563" t="s">
        <v>142</v>
      </c>
      <c r="F472" s="2564"/>
      <c r="G472" s="751"/>
      <c r="H472" s="751"/>
      <c r="I472" s="751"/>
      <c r="J472" s="905"/>
      <c r="K472" s="425"/>
      <c r="L472" s="468"/>
      <c r="M472" s="468"/>
      <c r="N472" s="468"/>
      <c r="O472" s="468"/>
      <c r="P472" s="468"/>
      <c r="Q472" s="468"/>
      <c r="R472" s="468"/>
      <c r="S472" s="468"/>
      <c r="T472" s="468"/>
      <c r="U472" s="468"/>
      <c r="V472" s="468"/>
      <c r="W472" s="468"/>
      <c r="X472" s="468"/>
    </row>
    <row r="473" spans="1:24" s="426" customFormat="1" x14ac:dyDescent="0.35">
      <c r="A473" s="912"/>
      <c r="B473" s="2577"/>
      <c r="C473" s="2577"/>
      <c r="D473" s="1341"/>
      <c r="E473" s="2565"/>
      <c r="F473" s="2566"/>
      <c r="G473" s="751"/>
      <c r="H473" s="751"/>
      <c r="I473" s="751"/>
      <c r="J473" s="905"/>
      <c r="K473" s="425"/>
      <c r="L473" s="468"/>
      <c r="M473" s="468"/>
      <c r="N473" s="468"/>
      <c r="O473" s="468"/>
      <c r="P473" s="468"/>
      <c r="Q473" s="468"/>
      <c r="R473" s="468"/>
      <c r="S473" s="468"/>
      <c r="T473" s="468"/>
      <c r="U473" s="468"/>
      <c r="V473" s="468"/>
      <c r="W473" s="468"/>
      <c r="X473" s="468"/>
    </row>
    <row r="474" spans="1:24" s="426" customFormat="1" x14ac:dyDescent="0.35">
      <c r="A474" s="912"/>
      <c r="B474" s="2577"/>
      <c r="C474" s="2577"/>
      <c r="D474" s="1341"/>
      <c r="E474" s="2559"/>
      <c r="F474" s="2560"/>
      <c r="G474" s="751"/>
      <c r="H474" s="751"/>
      <c r="I474" s="751"/>
      <c r="J474" s="905"/>
      <c r="K474" s="425"/>
      <c r="L474" s="468"/>
      <c r="M474" s="468"/>
      <c r="N474" s="468"/>
      <c r="O474" s="468"/>
      <c r="P474" s="468"/>
      <c r="Q474" s="468"/>
      <c r="R474" s="468"/>
      <c r="S474" s="468"/>
      <c r="T474" s="468"/>
      <c r="U474" s="468"/>
      <c r="V474" s="468"/>
      <c r="W474" s="468"/>
      <c r="X474" s="468"/>
    </row>
    <row r="475" spans="1:24" s="426" customFormat="1" x14ac:dyDescent="0.35">
      <c r="A475" s="912"/>
      <c r="B475" s="1342" t="s">
        <v>139</v>
      </c>
      <c r="C475" s="1342"/>
      <c r="D475" s="1342"/>
      <c r="E475" s="2561">
        <f>SUM(E473:F474)</f>
        <v>0</v>
      </c>
      <c r="F475" s="2562"/>
      <c r="G475" s="751"/>
      <c r="H475" s="751"/>
      <c r="I475" s="751"/>
      <c r="J475" s="905"/>
      <c r="K475" s="425"/>
      <c r="L475" s="468"/>
      <c r="M475" s="468"/>
      <c r="N475" s="468"/>
      <c r="O475" s="468"/>
      <c r="P475" s="468"/>
      <c r="Q475" s="468"/>
      <c r="R475" s="468"/>
      <c r="S475" s="468"/>
      <c r="T475" s="468"/>
      <c r="U475" s="468"/>
      <c r="V475" s="468"/>
      <c r="W475" s="468"/>
      <c r="X475" s="468"/>
    </row>
    <row r="476" spans="1:24" s="426" customFormat="1" ht="9.75" customHeight="1" x14ac:dyDescent="0.35">
      <c r="A476" s="912"/>
      <c r="B476" s="751"/>
      <c r="C476" s="751"/>
      <c r="D476" s="751"/>
      <c r="E476" s="751"/>
      <c r="F476" s="751"/>
      <c r="G476" s="751"/>
      <c r="H476" s="751"/>
      <c r="I476" s="751"/>
      <c r="J476" s="905"/>
      <c r="K476" s="425"/>
      <c r="L476" s="468"/>
      <c r="M476" s="468"/>
      <c r="N476" s="468"/>
      <c r="O476" s="468"/>
      <c r="P476" s="468"/>
      <c r="Q476" s="468"/>
      <c r="R476" s="468"/>
      <c r="S476" s="468"/>
      <c r="T476" s="468"/>
      <c r="U476" s="468"/>
      <c r="V476" s="468"/>
      <c r="W476" s="468"/>
      <c r="X476" s="468"/>
    </row>
    <row r="477" spans="1:24" s="468" customFormat="1" x14ac:dyDescent="0.35">
      <c r="A477" s="2508" t="str">
        <f>"Beban yang Masih Harus Dibayar "&amp;TEXT(Input!$I$711,"Rp#.##0")</f>
        <v>Beban yang Masih Harus Dibayar Rp0</v>
      </c>
      <c r="B477" s="911" t="s">
        <v>2168</v>
      </c>
      <c r="C477" s="738"/>
      <c r="D477" s="798"/>
      <c r="E477" s="798"/>
      <c r="F477" s="798"/>
      <c r="G477" s="798"/>
      <c r="H477" s="798"/>
      <c r="I477" s="798"/>
      <c r="J477" s="905"/>
      <c r="K477" s="544"/>
      <c r="L477" s="426"/>
      <c r="M477" s="426"/>
      <c r="N477" s="426"/>
      <c r="O477" s="426"/>
      <c r="P477" s="426"/>
      <c r="Q477" s="426"/>
      <c r="R477" s="426"/>
      <c r="S477" s="426"/>
      <c r="T477" s="426"/>
      <c r="U477" s="426"/>
      <c r="V477" s="426"/>
      <c r="W477" s="426"/>
      <c r="X477" s="426"/>
    </row>
    <row r="478" spans="1:24" s="468" customFormat="1" ht="15.75" customHeight="1" x14ac:dyDescent="0.35">
      <c r="A478" s="2508"/>
      <c r="B478" s="2192" t="str">
        <f>"Beban yang Masih Harus Dibayar per "&amp;Input!$Q$24&amp;" dan "&amp;Input!$Y$25&amp;" sebesar "&amp;TEXT(Input!$I$711,"Rp#.##0")&amp;" dan "&amp;TEXT(Input!$K$711,"Rp#.##0")&amp;", merupakan kewajiban pemerintah kepada pihak ketiga yang pada tanggal pelaporan keuangan belum diterima tagihannya,"&amp;" dengan rincian sebagai berikut:"</f>
        <v>Beban yang Masih Harus Dibayar per 31 Desember 2019 dan 2018 sebesar Rp0 dan Rp0, merupakan kewajiban pemerintah kepada pihak ketiga yang pada tanggal pelaporan keuangan belum diterima tagihannya, dengan rincian sebagai berikut:</v>
      </c>
      <c r="C478" s="2192"/>
      <c r="D478" s="2192"/>
      <c r="E478" s="2192"/>
      <c r="F478" s="2192"/>
      <c r="G478" s="2192"/>
      <c r="H478" s="2192"/>
      <c r="I478" s="2192"/>
      <c r="J478" s="905"/>
      <c r="K478" s="544"/>
    </row>
    <row r="479" spans="1:24" s="468" customFormat="1" x14ac:dyDescent="0.35">
      <c r="A479" s="2362"/>
      <c r="B479" s="2192"/>
      <c r="C479" s="2192"/>
      <c r="D479" s="2192"/>
      <c r="E479" s="2192"/>
      <c r="F479" s="2192"/>
      <c r="G479" s="2192"/>
      <c r="H479" s="2192"/>
      <c r="I479" s="2192"/>
      <c r="J479" s="905"/>
      <c r="K479" s="544"/>
    </row>
    <row r="480" spans="1:24" s="468" customFormat="1" x14ac:dyDescent="0.35">
      <c r="A480" s="912"/>
      <c r="B480" s="2192"/>
      <c r="C480" s="2192"/>
      <c r="D480" s="2192"/>
      <c r="E480" s="2192"/>
      <c r="F480" s="2192"/>
      <c r="G480" s="2192"/>
      <c r="H480" s="2192"/>
      <c r="I480" s="2192"/>
      <c r="J480" s="905"/>
      <c r="K480" s="544"/>
    </row>
    <row r="481" spans="1:24" s="468" customFormat="1" ht="7.5" customHeight="1" x14ac:dyDescent="0.35">
      <c r="A481" s="912"/>
      <c r="B481" s="2192"/>
      <c r="C481" s="2192"/>
      <c r="D481" s="2192"/>
      <c r="E481" s="2192"/>
      <c r="F481" s="2192"/>
      <c r="G481" s="2192"/>
      <c r="H481" s="2192"/>
      <c r="I481" s="2192"/>
      <c r="J481" s="905"/>
      <c r="K481" s="544"/>
      <c r="L481" s="426"/>
      <c r="M481" s="426"/>
      <c r="N481" s="426"/>
      <c r="O481" s="426"/>
      <c r="P481" s="426"/>
      <c r="Q481" s="426"/>
      <c r="R481" s="426"/>
      <c r="S481" s="426"/>
      <c r="T481" s="426"/>
      <c r="U481" s="426"/>
      <c r="V481" s="426"/>
      <c r="W481" s="426"/>
      <c r="X481" s="426"/>
    </row>
    <row r="482" spans="1:24" s="468" customFormat="1" x14ac:dyDescent="0.35">
      <c r="A482" s="912"/>
      <c r="B482" s="2579" t="str">
        <f>"Perbandingan Rincian Beban yang Masih Dibayar "&amp;Input!$M$24&amp;" dan "&amp;Input!$T$25&amp;""</f>
        <v>Perbandingan Rincian Beban yang Masih Dibayar 31 Desember 2019 dan 31 Desember 2018</v>
      </c>
      <c r="C482" s="2579"/>
      <c r="D482" s="2579"/>
      <c r="E482" s="2579"/>
      <c r="F482" s="2579"/>
      <c r="G482" s="2579"/>
      <c r="H482" s="2579"/>
      <c r="I482" s="844"/>
      <c r="J482" s="905"/>
      <c r="K482" s="544"/>
    </row>
    <row r="483" spans="1:24" s="468" customFormat="1" ht="7.5" customHeight="1" x14ac:dyDescent="0.35">
      <c r="A483" s="912"/>
      <c r="B483" s="844"/>
      <c r="C483" s="844"/>
      <c r="D483" s="844"/>
      <c r="E483" s="844"/>
      <c r="F483" s="844"/>
      <c r="G483" s="844"/>
      <c r="H483" s="844"/>
      <c r="I483" s="844"/>
      <c r="J483" s="905"/>
      <c r="K483" s="544"/>
      <c r="L483" s="426"/>
      <c r="M483" s="426"/>
      <c r="N483" s="426"/>
      <c r="O483" s="426"/>
      <c r="P483" s="426"/>
      <c r="Q483" s="426"/>
      <c r="R483" s="426"/>
      <c r="S483" s="426"/>
      <c r="T483" s="426"/>
      <c r="U483" s="426"/>
      <c r="V483" s="426"/>
      <c r="W483" s="426"/>
      <c r="X483" s="426"/>
    </row>
    <row r="484" spans="1:24" s="468" customFormat="1" x14ac:dyDescent="0.35">
      <c r="A484" s="912"/>
      <c r="B484" s="2510" t="s">
        <v>134</v>
      </c>
      <c r="C484" s="2578"/>
      <c r="D484" s="2511"/>
      <c r="E484" s="934" t="str">
        <f>Input!$M$24</f>
        <v>31 Desember 2019</v>
      </c>
      <c r="F484" s="2540" t="str">
        <f>Input!$T$25</f>
        <v>31 Desember 2018</v>
      </c>
      <c r="G484" s="2541"/>
      <c r="H484" s="2542"/>
      <c r="I484" s="844"/>
      <c r="J484" s="905"/>
      <c r="K484" s="544"/>
      <c r="L484" s="426"/>
      <c r="M484" s="426"/>
      <c r="N484" s="426"/>
      <c r="O484" s="426"/>
      <c r="P484" s="426"/>
      <c r="Q484" s="426"/>
      <c r="R484" s="426"/>
      <c r="S484" s="426"/>
      <c r="T484" s="426"/>
      <c r="U484" s="426"/>
      <c r="V484" s="426"/>
      <c r="W484" s="426"/>
      <c r="X484" s="426"/>
    </row>
    <row r="485" spans="1:24" s="468" customFormat="1" x14ac:dyDescent="0.35">
      <c r="A485" s="912"/>
      <c r="B485" s="2574"/>
      <c r="C485" s="2575"/>
      <c r="D485" s="2576"/>
      <c r="E485" s="1021">
        <v>0</v>
      </c>
      <c r="F485" s="2571">
        <v>0</v>
      </c>
      <c r="G485" s="2572"/>
      <c r="H485" s="2573"/>
      <c r="I485" s="844"/>
      <c r="J485" s="905"/>
      <c r="K485" s="544"/>
      <c r="L485" s="426"/>
      <c r="M485" s="426"/>
      <c r="N485" s="426"/>
      <c r="O485" s="426"/>
      <c r="P485" s="426"/>
      <c r="Q485" s="426"/>
      <c r="R485" s="426"/>
      <c r="S485" s="426"/>
      <c r="T485" s="426"/>
      <c r="U485" s="426"/>
      <c r="V485" s="426"/>
      <c r="W485" s="426"/>
      <c r="X485" s="426"/>
    </row>
    <row r="486" spans="1:24" s="468" customFormat="1" ht="17.25" customHeight="1" x14ac:dyDescent="0.35">
      <c r="A486" s="912"/>
      <c r="B486" s="2574"/>
      <c r="C486" s="2575"/>
      <c r="D486" s="2576"/>
      <c r="E486" s="1021">
        <v>0</v>
      </c>
      <c r="F486" s="2571">
        <v>0</v>
      </c>
      <c r="G486" s="2572">
        <v>0</v>
      </c>
      <c r="H486" s="2573">
        <v>0</v>
      </c>
      <c r="I486" s="844"/>
      <c r="J486" s="905"/>
      <c r="K486" s="544"/>
      <c r="L486" s="426"/>
      <c r="M486" s="426"/>
      <c r="N486" s="426"/>
      <c r="O486" s="426"/>
      <c r="P486" s="426"/>
      <c r="Q486" s="426"/>
      <c r="R486" s="426"/>
      <c r="S486" s="426"/>
      <c r="T486" s="426"/>
      <c r="U486" s="426"/>
      <c r="V486" s="426"/>
      <c r="W486" s="426"/>
      <c r="X486" s="426"/>
    </row>
    <row r="487" spans="1:24" s="468" customFormat="1" x14ac:dyDescent="0.35">
      <c r="A487" s="912"/>
      <c r="B487" s="2567" t="s">
        <v>116</v>
      </c>
      <c r="C487" s="2568"/>
      <c r="D487" s="2569"/>
      <c r="E487" s="992">
        <f>SUM(E485:E486)</f>
        <v>0</v>
      </c>
      <c r="F487" s="2570">
        <f>SUM(F485:H486)</f>
        <v>0</v>
      </c>
      <c r="G487" s="2570"/>
      <c r="H487" s="2570"/>
      <c r="I487" s="844"/>
      <c r="J487" s="905"/>
      <c r="K487" s="544"/>
      <c r="L487" s="426"/>
      <c r="M487" s="426"/>
      <c r="N487" s="426"/>
      <c r="O487" s="426"/>
      <c r="P487" s="426"/>
      <c r="Q487" s="426"/>
      <c r="R487" s="426"/>
      <c r="S487" s="426"/>
      <c r="T487" s="426"/>
      <c r="U487" s="426"/>
      <c r="V487" s="426"/>
      <c r="W487" s="426"/>
      <c r="X487" s="426"/>
    </row>
    <row r="488" spans="1:24" s="468" customFormat="1" x14ac:dyDescent="0.35">
      <c r="A488" s="912"/>
      <c r="B488" s="844"/>
      <c r="C488" s="844"/>
      <c r="D488" s="844"/>
      <c r="E488" s="844"/>
      <c r="F488" s="844"/>
      <c r="G488" s="844"/>
      <c r="H488" s="844"/>
      <c r="I488" s="844"/>
      <c r="J488" s="905"/>
      <c r="K488" s="544"/>
      <c r="L488" s="426"/>
      <c r="M488" s="426"/>
      <c r="N488" s="426"/>
      <c r="O488" s="426"/>
      <c r="P488" s="426"/>
      <c r="Q488" s="426"/>
      <c r="R488" s="426"/>
      <c r="S488" s="426"/>
      <c r="T488" s="426"/>
      <c r="U488" s="426"/>
      <c r="V488" s="426"/>
      <c r="W488" s="426"/>
      <c r="X488" s="426"/>
    </row>
    <row r="489" spans="1:24" s="426" customFormat="1" ht="15.75" customHeight="1" x14ac:dyDescent="0.35">
      <c r="A489" s="2508" t="str">
        <f>"Ekuitas "&amp;TEXT(Input!$I$717,"Rp#.##0")</f>
        <v>Ekuitas Rp23.766.101.180</v>
      </c>
      <c r="B489" s="911" t="s">
        <v>2249</v>
      </c>
      <c r="C489" s="738"/>
      <c r="D489" s="798"/>
      <c r="E489" s="798"/>
      <c r="F489" s="798"/>
      <c r="G489" s="798"/>
      <c r="H489" s="798"/>
      <c r="I489" s="798"/>
      <c r="J489" s="905"/>
      <c r="K489" s="425"/>
    </row>
    <row r="490" spans="1:24" s="468" customFormat="1" ht="15.75" customHeight="1" x14ac:dyDescent="0.35">
      <c r="A490" s="2508"/>
      <c r="B490" s="2192" t="str">
        <f>"Ekuitas per "&amp;Input!Q24&amp;" dan "&amp;Input!$T$25&amp;" adalah masing-masing adalah sebesar "&amp;TEXT(Input!$I$717,"Rp#.##0")&amp;" dan "&amp;TEXT(Input!$K$717,"Rp#.##0")&amp;". Ekuitas adalah merupakan kekayaan bersih entitas yang merupakan selisih antara aset dan kewajiban. Penjelasan lebih lanjut tentang ekuitas disajikan dalam Laporan Perubahan Ekuitas."</f>
        <v>Ekuitas per 31 Desember 2019 dan 31 Desember 2018 adalah masing-masing adalah sebesar Rp23.766.101.180 dan Rp23.189.043.788. Ekuitas adalah merupakan kekayaan bersih entitas yang merupakan selisih antara aset dan kewajiban. Penjelasan lebih lanjut tentang ekuitas disajikan dalam Laporan Perubahan Ekuitas.</v>
      </c>
      <c r="C490" s="2192"/>
      <c r="D490" s="2192"/>
      <c r="E490" s="2192"/>
      <c r="F490" s="2192"/>
      <c r="G490" s="2192"/>
      <c r="H490" s="2192"/>
      <c r="I490" s="2192"/>
      <c r="J490" s="1135"/>
      <c r="K490" s="544"/>
      <c r="L490" s="426"/>
      <c r="M490" s="426"/>
      <c r="N490" s="426"/>
      <c r="O490" s="426"/>
      <c r="P490" s="426"/>
      <c r="Q490" s="426"/>
      <c r="R490" s="426"/>
      <c r="S490" s="426"/>
      <c r="T490" s="426"/>
      <c r="U490" s="426"/>
      <c r="V490" s="426"/>
      <c r="W490" s="426"/>
      <c r="X490" s="426"/>
    </row>
    <row r="491" spans="1:24" s="468" customFormat="1" ht="15.75" customHeight="1" x14ac:dyDescent="0.35">
      <c r="A491" s="2508"/>
      <c r="B491" s="2192"/>
      <c r="C491" s="2192"/>
      <c r="D491" s="2192"/>
      <c r="E491" s="2192"/>
      <c r="F491" s="2192"/>
      <c r="G491" s="2192"/>
      <c r="H491" s="2192"/>
      <c r="I491" s="2192"/>
      <c r="J491" s="1135"/>
      <c r="K491" s="544"/>
      <c r="L491"/>
      <c r="M491"/>
      <c r="N491"/>
      <c r="O491"/>
      <c r="P491"/>
      <c r="Q491"/>
      <c r="R491"/>
      <c r="S491"/>
      <c r="T491"/>
      <c r="U491"/>
      <c r="V491"/>
      <c r="W491"/>
      <c r="X491"/>
    </row>
    <row r="492" spans="1:24" s="468" customFormat="1" ht="15.75" customHeight="1" x14ac:dyDescent="0.35">
      <c r="A492" s="2508"/>
      <c r="B492" s="2192"/>
      <c r="C492" s="2192"/>
      <c r="D492" s="2192"/>
      <c r="E492" s="2192"/>
      <c r="F492" s="2192"/>
      <c r="G492" s="2192"/>
      <c r="H492" s="2192"/>
      <c r="I492" s="2192"/>
      <c r="J492" s="1135"/>
      <c r="K492" s="544"/>
      <c r="L492"/>
      <c r="M492"/>
      <c r="N492"/>
      <c r="O492"/>
      <c r="P492"/>
      <c r="Q492"/>
      <c r="R492"/>
      <c r="S492"/>
      <c r="T492"/>
      <c r="U492"/>
      <c r="V492"/>
      <c r="W492"/>
      <c r="X492"/>
    </row>
    <row r="493" spans="1:24" s="426" customFormat="1" ht="15" customHeight="1" x14ac:dyDescent="0.35">
      <c r="A493" s="2508"/>
      <c r="B493" s="2192"/>
      <c r="C493" s="2192"/>
      <c r="D493" s="2192"/>
      <c r="E493" s="2192"/>
      <c r="F493" s="2192"/>
      <c r="G493" s="2192"/>
      <c r="H493" s="2192"/>
      <c r="I493" s="2192"/>
      <c r="J493" s="905"/>
      <c r="K493" s="425"/>
      <c r="L493"/>
      <c r="M493"/>
      <c r="N493"/>
      <c r="O493"/>
      <c r="P493"/>
      <c r="Q493"/>
      <c r="R493"/>
      <c r="S493"/>
      <c r="T493"/>
      <c r="U493"/>
      <c r="V493"/>
      <c r="W493"/>
      <c r="X493"/>
    </row>
    <row r="494" spans="1:24" s="468" customFormat="1" x14ac:dyDescent="0.35">
      <c r="A494" s="1134"/>
      <c r="B494" s="1133"/>
      <c r="C494" s="1133"/>
      <c r="D494" s="1133"/>
      <c r="E494" s="1133"/>
      <c r="F494" s="1133"/>
      <c r="G494" s="1133"/>
      <c r="H494" s="1133"/>
      <c r="I494" s="1133"/>
      <c r="J494" s="1135"/>
      <c r="K494" s="544"/>
      <c r="L494"/>
      <c r="M494"/>
      <c r="N494"/>
      <c r="O494"/>
      <c r="P494"/>
      <c r="Q494"/>
      <c r="R494"/>
      <c r="S494"/>
      <c r="T494"/>
      <c r="U494"/>
      <c r="V494"/>
      <c r="W494"/>
      <c r="X494"/>
    </row>
    <row r="495" spans="1:24" s="426" customFormat="1" x14ac:dyDescent="0.35">
      <c r="A495" s="429"/>
      <c r="B495" s="427"/>
      <c r="C495" s="427"/>
      <c r="D495" s="427"/>
      <c r="E495" s="427"/>
      <c r="F495" s="427"/>
      <c r="G495" s="427"/>
      <c r="H495" s="427"/>
      <c r="I495" s="427"/>
      <c r="J495" s="46"/>
      <c r="K495" s="425"/>
      <c r="L495"/>
      <c r="M495"/>
      <c r="N495"/>
      <c r="O495"/>
      <c r="P495"/>
      <c r="Q495"/>
      <c r="R495"/>
      <c r="S495"/>
      <c r="T495"/>
      <c r="U495"/>
      <c r="V495"/>
      <c r="W495"/>
      <c r="X495"/>
    </row>
    <row r="496" spans="1:24" s="426" customFormat="1" x14ac:dyDescent="0.35">
      <c r="A496" s="429"/>
      <c r="B496" s="427"/>
      <c r="C496" s="427"/>
      <c r="D496" s="427"/>
      <c r="E496" s="427"/>
      <c r="F496" s="427"/>
      <c r="G496" s="427"/>
      <c r="H496" s="427"/>
      <c r="I496" s="427"/>
      <c r="J496" s="46"/>
      <c r="K496" s="425"/>
      <c r="L496"/>
      <c r="M496"/>
      <c r="N496"/>
      <c r="O496"/>
      <c r="P496"/>
      <c r="Q496"/>
      <c r="R496"/>
      <c r="S496"/>
      <c r="T496"/>
      <c r="U496"/>
      <c r="V496"/>
      <c r="W496"/>
      <c r="X496"/>
    </row>
    <row r="497" spans="1:24" s="426" customFormat="1" x14ac:dyDescent="0.35">
      <c r="A497" s="429"/>
      <c r="B497" s="427"/>
      <c r="C497" s="427"/>
      <c r="D497" s="427"/>
      <c r="E497" s="427"/>
      <c r="F497" s="427"/>
      <c r="G497" s="427"/>
      <c r="H497" s="427"/>
      <c r="I497" s="427"/>
      <c r="J497" s="46"/>
      <c r="K497" s="425"/>
      <c r="L497"/>
      <c r="M497"/>
      <c r="N497"/>
      <c r="O497"/>
      <c r="P497"/>
      <c r="Q497"/>
      <c r="R497"/>
      <c r="S497"/>
      <c r="T497"/>
      <c r="U497"/>
      <c r="V497"/>
      <c r="W497"/>
      <c r="X497"/>
    </row>
    <row r="498" spans="1:24" s="426" customFormat="1" x14ac:dyDescent="0.35">
      <c r="A498" s="429"/>
      <c r="B498" s="427"/>
      <c r="C498" s="427"/>
      <c r="D498" s="427"/>
      <c r="E498" s="427"/>
      <c r="F498" s="427"/>
      <c r="G498" s="427"/>
      <c r="H498" s="427"/>
      <c r="I498" s="427"/>
      <c r="J498" s="46"/>
      <c r="K498" s="425"/>
      <c r="L498"/>
      <c r="M498"/>
      <c r="N498"/>
      <c r="O498"/>
      <c r="P498"/>
      <c r="Q498"/>
      <c r="R498"/>
      <c r="S498"/>
      <c r="T498"/>
      <c r="U498"/>
      <c r="V498"/>
      <c r="W498"/>
      <c r="X498"/>
    </row>
    <row r="499" spans="1:24" s="426" customFormat="1" x14ac:dyDescent="0.35">
      <c r="A499" s="429"/>
      <c r="B499" s="427"/>
      <c r="C499" s="427"/>
      <c r="D499" s="427"/>
      <c r="E499" s="427"/>
      <c r="F499" s="427"/>
      <c r="G499" s="427"/>
      <c r="H499" s="427"/>
      <c r="I499" s="427"/>
      <c r="J499" s="46"/>
      <c r="K499" s="425"/>
      <c r="L499"/>
      <c r="M499"/>
      <c r="N499"/>
      <c r="O499"/>
      <c r="P499"/>
      <c r="Q499"/>
      <c r="R499"/>
      <c r="S499"/>
      <c r="T499"/>
      <c r="U499"/>
      <c r="V499"/>
      <c r="W499"/>
      <c r="X499"/>
    </row>
    <row r="500" spans="1:24" s="426" customFormat="1" x14ac:dyDescent="0.35">
      <c r="A500" s="429"/>
      <c r="B500" s="427"/>
      <c r="C500" s="427"/>
      <c r="D500" s="427"/>
      <c r="E500" s="427"/>
      <c r="F500" s="427"/>
      <c r="G500" s="427"/>
      <c r="H500" s="427"/>
      <c r="I500" s="427"/>
      <c r="J500" s="46"/>
      <c r="K500" s="425"/>
      <c r="L500"/>
      <c r="M500"/>
      <c r="N500"/>
      <c r="O500"/>
      <c r="P500"/>
      <c r="Q500"/>
      <c r="R500"/>
      <c r="S500"/>
      <c r="T500"/>
      <c r="U500"/>
      <c r="V500"/>
      <c r="W500"/>
      <c r="X500"/>
    </row>
    <row r="501" spans="1:24" s="426" customFormat="1" x14ac:dyDescent="0.35">
      <c r="A501" s="429"/>
      <c r="B501" s="427"/>
      <c r="C501" s="427"/>
      <c r="D501" s="427"/>
      <c r="E501" s="427"/>
      <c r="F501" s="427"/>
      <c r="G501" s="427"/>
      <c r="H501" s="427"/>
      <c r="I501" s="427"/>
      <c r="J501" s="46"/>
      <c r="K501" s="425"/>
      <c r="L501"/>
      <c r="M501"/>
      <c r="N501"/>
      <c r="O501"/>
      <c r="P501"/>
      <c r="Q501"/>
      <c r="R501"/>
      <c r="S501"/>
      <c r="T501"/>
      <c r="U501"/>
      <c r="V501"/>
      <c r="W501"/>
      <c r="X501"/>
    </row>
    <row r="502" spans="1:24" s="426" customFormat="1" x14ac:dyDescent="0.35">
      <c r="A502" s="429"/>
      <c r="B502" s="427"/>
      <c r="C502" s="427"/>
      <c r="D502" s="427"/>
      <c r="E502" s="427"/>
      <c r="F502" s="427"/>
      <c r="G502" s="427"/>
      <c r="H502" s="427"/>
      <c r="I502" s="427"/>
      <c r="J502" s="46"/>
      <c r="K502" s="425"/>
      <c r="L502"/>
      <c r="M502"/>
      <c r="N502"/>
      <c r="O502"/>
      <c r="P502"/>
      <c r="Q502"/>
      <c r="R502"/>
      <c r="S502"/>
      <c r="T502"/>
      <c r="U502"/>
      <c r="V502"/>
      <c r="W502"/>
      <c r="X502"/>
    </row>
  </sheetData>
  <customSheetViews>
    <customSheetView guid="{EBF27D8D-2DD9-43E5-8C42-19F0B73014F5}" showPageBreaks="1" view="pageBreakPreview">
      <selection sqref="A1:I1"/>
      <pageMargins left="0.15748031496062992" right="0.19685039370078741" top="0.74803149606299213" bottom="0.70866141732283472" header="0.31496062992125984" footer="0.31496062992125984"/>
      <pageSetup paperSize="9" scale="95" firstPageNumber="20" orientation="portrait" useFirstPageNumber="1" r:id="rId1"/>
      <headerFooter>
        <oddFooter>&amp;L&amp;"Calibri,Bold Italic"&amp;U&amp;K0070C0Catatan atas Laporan Keuangan&amp;R&amp;"Calibri,Bold Italic"&amp;K0070C0&amp;P</oddFooter>
      </headerFooter>
    </customSheetView>
  </customSheetViews>
  <mergeCells count="469">
    <mergeCell ref="B471:F471"/>
    <mergeCell ref="B462:D462"/>
    <mergeCell ref="B442:H442"/>
    <mergeCell ref="B451:I456"/>
    <mergeCell ref="B457:H457"/>
    <mergeCell ref="F458:I458"/>
    <mergeCell ref="F459:I459"/>
    <mergeCell ref="F460:I460"/>
    <mergeCell ref="F461:I461"/>
    <mergeCell ref="F462:I462"/>
    <mergeCell ref="B458:D458"/>
    <mergeCell ref="B459:D459"/>
    <mergeCell ref="B460:D460"/>
    <mergeCell ref="B461:D461"/>
    <mergeCell ref="B443:H443"/>
    <mergeCell ref="A444:A446"/>
    <mergeCell ref="A293:A295"/>
    <mergeCell ref="B326:I329"/>
    <mergeCell ref="A325:A327"/>
    <mergeCell ref="B339:I340"/>
    <mergeCell ref="B344:I346"/>
    <mergeCell ref="B362:I362"/>
    <mergeCell ref="B366:I370"/>
    <mergeCell ref="A365:A368"/>
    <mergeCell ref="C309:D309"/>
    <mergeCell ref="C310:D310"/>
    <mergeCell ref="C311:D311"/>
    <mergeCell ref="B299:D299"/>
    <mergeCell ref="B316:D316"/>
    <mergeCell ref="B347:I348"/>
    <mergeCell ref="C322:I322"/>
    <mergeCell ref="B357:E357"/>
    <mergeCell ref="A343:A345"/>
    <mergeCell ref="B355:E355"/>
    <mergeCell ref="F355:I355"/>
    <mergeCell ref="B358:E358"/>
    <mergeCell ref="F358:I358"/>
    <mergeCell ref="B359:E359"/>
    <mergeCell ref="F359:I359"/>
    <mergeCell ref="A450:A452"/>
    <mergeCell ref="B466:I470"/>
    <mergeCell ref="A465:A467"/>
    <mergeCell ref="A373:A376"/>
    <mergeCell ref="B389:I389"/>
    <mergeCell ref="A391:A393"/>
    <mergeCell ref="B427:I428"/>
    <mergeCell ref="B410:I413"/>
    <mergeCell ref="B431:I434"/>
    <mergeCell ref="A430:A434"/>
    <mergeCell ref="A409:A411"/>
    <mergeCell ref="B417:E417"/>
    <mergeCell ref="F417:I417"/>
    <mergeCell ref="B418:E418"/>
    <mergeCell ref="F418:I418"/>
    <mergeCell ref="B419:E419"/>
    <mergeCell ref="F419:I419"/>
    <mergeCell ref="B387:C387"/>
    <mergeCell ref="B399:E399"/>
    <mergeCell ref="F399:I399"/>
    <mergeCell ref="B374:I379"/>
    <mergeCell ref="F402:I402"/>
    <mergeCell ref="B445:I448"/>
    <mergeCell ref="B416:E416"/>
    <mergeCell ref="C30:D30"/>
    <mergeCell ref="F30:H30"/>
    <mergeCell ref="C80:D80"/>
    <mergeCell ref="F80:H80"/>
    <mergeCell ref="C82:D82"/>
    <mergeCell ref="C64:D64"/>
    <mergeCell ref="C65:D65"/>
    <mergeCell ref="C66:D66"/>
    <mergeCell ref="B156:D156"/>
    <mergeCell ref="F156:H156"/>
    <mergeCell ref="B33:I33"/>
    <mergeCell ref="C38:D38"/>
    <mergeCell ref="B55:D55"/>
    <mergeCell ref="B68:D68"/>
    <mergeCell ref="B41:I43"/>
    <mergeCell ref="F138:H138"/>
    <mergeCell ref="C139:D139"/>
    <mergeCell ref="F139:H139"/>
    <mergeCell ref="B86:I89"/>
    <mergeCell ref="B100:I102"/>
    <mergeCell ref="B103:I106"/>
    <mergeCell ref="B131:I132"/>
    <mergeCell ref="B133:I135"/>
    <mergeCell ref="F96:H96"/>
    <mergeCell ref="C15:D15"/>
    <mergeCell ref="C17:D17"/>
    <mergeCell ref="B239:E239"/>
    <mergeCell ref="F239:I239"/>
    <mergeCell ref="B240:E240"/>
    <mergeCell ref="F240:I240"/>
    <mergeCell ref="B243:E243"/>
    <mergeCell ref="C97:D97"/>
    <mergeCell ref="C194:D194"/>
    <mergeCell ref="F194:H194"/>
    <mergeCell ref="F15:H15"/>
    <mergeCell ref="C28:D28"/>
    <mergeCell ref="F79:H79"/>
    <mergeCell ref="C18:D18"/>
    <mergeCell ref="C16:D16"/>
    <mergeCell ref="F16:H16"/>
    <mergeCell ref="B56:I56"/>
    <mergeCell ref="B215:H215"/>
    <mergeCell ref="F219:H219"/>
    <mergeCell ref="F112:H112"/>
    <mergeCell ref="B241:E241"/>
    <mergeCell ref="B143:D143"/>
    <mergeCell ref="F229:H229"/>
    <mergeCell ref="F221:H221"/>
    <mergeCell ref="A57:A58"/>
    <mergeCell ref="B58:I61"/>
    <mergeCell ref="A232:A233"/>
    <mergeCell ref="A85:A86"/>
    <mergeCell ref="B237:E237"/>
    <mergeCell ref="B238:E238"/>
    <mergeCell ref="B233:I235"/>
    <mergeCell ref="B236:I236"/>
    <mergeCell ref="C96:D96"/>
    <mergeCell ref="C92:D92"/>
    <mergeCell ref="B90:E90"/>
    <mergeCell ref="C76:I76"/>
    <mergeCell ref="C77:I77"/>
    <mergeCell ref="F93:H93"/>
    <mergeCell ref="F94:H94"/>
    <mergeCell ref="C81:D81"/>
    <mergeCell ref="F81:H81"/>
    <mergeCell ref="A209:A212"/>
    <mergeCell ref="F203:H203"/>
    <mergeCell ref="C204:D204"/>
    <mergeCell ref="F227:H227"/>
    <mergeCell ref="F230:H230"/>
    <mergeCell ref="F66:H66"/>
    <mergeCell ref="F78:H78"/>
    <mergeCell ref="B11:E11"/>
    <mergeCell ref="C14:D14"/>
    <mergeCell ref="C312:D312"/>
    <mergeCell ref="F243:I243"/>
    <mergeCell ref="B319:I319"/>
    <mergeCell ref="C278:D278"/>
    <mergeCell ref="C274:D274"/>
    <mergeCell ref="B13:H13"/>
    <mergeCell ref="B27:H27"/>
    <mergeCell ref="B281:D281"/>
    <mergeCell ref="B282:D282"/>
    <mergeCell ref="B273:D273"/>
    <mergeCell ref="B280:D280"/>
    <mergeCell ref="F14:H14"/>
    <mergeCell ref="F31:H31"/>
    <mergeCell ref="C202:D202"/>
    <mergeCell ref="F204:H204"/>
    <mergeCell ref="F193:H193"/>
    <mergeCell ref="B298:D298"/>
    <mergeCell ref="F218:H218"/>
    <mergeCell ref="F223:H223"/>
    <mergeCell ref="F224:H224"/>
    <mergeCell ref="F225:H225"/>
    <mergeCell ref="F226:H226"/>
    <mergeCell ref="B333:E333"/>
    <mergeCell ref="F333:I333"/>
    <mergeCell ref="B334:E334"/>
    <mergeCell ref="F334:I334"/>
    <mergeCell ref="B392:I394"/>
    <mergeCell ref="K236:K241"/>
    <mergeCell ref="L236:L241"/>
    <mergeCell ref="C398:I398"/>
    <mergeCell ref="B400:E400"/>
    <mergeCell ref="B246:E246"/>
    <mergeCell ref="F246:I246"/>
    <mergeCell ref="F242:I242"/>
    <mergeCell ref="F244:I244"/>
    <mergeCell ref="F245:I245"/>
    <mergeCell ref="F248:I248"/>
    <mergeCell ref="B242:E242"/>
    <mergeCell ref="C271:D271"/>
    <mergeCell ref="C269:D269"/>
    <mergeCell ref="B247:E247"/>
    <mergeCell ref="F247:I247"/>
    <mergeCell ref="F382:H382"/>
    <mergeCell ref="B395:I395"/>
    <mergeCell ref="F387:H387"/>
    <mergeCell ref="F400:I400"/>
    <mergeCell ref="L339:L342"/>
    <mergeCell ref="M339:M342"/>
    <mergeCell ref="F353:I353"/>
    <mergeCell ref="B354:E354"/>
    <mergeCell ref="F354:I354"/>
    <mergeCell ref="N339:X342"/>
    <mergeCell ref="F401:I401"/>
    <mergeCell ref="B335:E335"/>
    <mergeCell ref="F335:I335"/>
    <mergeCell ref="B336:E336"/>
    <mergeCell ref="F336:I336"/>
    <mergeCell ref="B349:I349"/>
    <mergeCell ref="B350:E350"/>
    <mergeCell ref="F350:I350"/>
    <mergeCell ref="B351:E351"/>
    <mergeCell ref="F351:I351"/>
    <mergeCell ref="B356:E356"/>
    <mergeCell ref="F356:I356"/>
    <mergeCell ref="B371:I371"/>
    <mergeCell ref="B337:E337"/>
    <mergeCell ref="F337:I337"/>
    <mergeCell ref="B441:C441"/>
    <mergeCell ref="F441:H441"/>
    <mergeCell ref="B420:E420"/>
    <mergeCell ref="N350:X350"/>
    <mergeCell ref="L352:L355"/>
    <mergeCell ref="M352:M355"/>
    <mergeCell ref="N352:X355"/>
    <mergeCell ref="B381:H381"/>
    <mergeCell ref="F383:H383"/>
    <mergeCell ref="F384:H384"/>
    <mergeCell ref="F385:H385"/>
    <mergeCell ref="F386:H386"/>
    <mergeCell ref="B360:E360"/>
    <mergeCell ref="F360:I360"/>
    <mergeCell ref="F357:I357"/>
    <mergeCell ref="B352:E352"/>
    <mergeCell ref="F352:I352"/>
    <mergeCell ref="B353:E353"/>
    <mergeCell ref="B436:C436"/>
    <mergeCell ref="F438:H438"/>
    <mergeCell ref="B437:C437"/>
    <mergeCell ref="B438:C438"/>
    <mergeCell ref="B440:C440"/>
    <mergeCell ref="B439:C439"/>
    <mergeCell ref="M236:W241"/>
    <mergeCell ref="F117:H117"/>
    <mergeCell ref="F241:I241"/>
    <mergeCell ref="B331:E331"/>
    <mergeCell ref="F331:I331"/>
    <mergeCell ref="B332:E332"/>
    <mergeCell ref="F332:I332"/>
    <mergeCell ref="L326:X326"/>
    <mergeCell ref="N330:X330"/>
    <mergeCell ref="F205:H205"/>
    <mergeCell ref="B206:D206"/>
    <mergeCell ref="F206:H206"/>
    <mergeCell ref="F220:H220"/>
    <mergeCell ref="B248:E248"/>
    <mergeCell ref="B317:D317"/>
    <mergeCell ref="C300:D300"/>
    <mergeCell ref="C301:D301"/>
    <mergeCell ref="M256:N256"/>
    <mergeCell ref="B259:I261"/>
    <mergeCell ref="B308:D308"/>
    <mergeCell ref="B263:D263"/>
    <mergeCell ref="C270:D270"/>
    <mergeCell ref="C305:D305"/>
    <mergeCell ref="C306:D306"/>
    <mergeCell ref="C203:D203"/>
    <mergeCell ref="C277:D277"/>
    <mergeCell ref="F237:I237"/>
    <mergeCell ref="F238:I238"/>
    <mergeCell ref="C313:D313"/>
    <mergeCell ref="B244:E244"/>
    <mergeCell ref="B245:E245"/>
    <mergeCell ref="B291:I291"/>
    <mergeCell ref="B294:I296"/>
    <mergeCell ref="C303:D303"/>
    <mergeCell ref="C276:D276"/>
    <mergeCell ref="C275:D275"/>
    <mergeCell ref="C266:D266"/>
    <mergeCell ref="B264:D264"/>
    <mergeCell ref="C267:D267"/>
    <mergeCell ref="C268:D268"/>
    <mergeCell ref="C302:D302"/>
    <mergeCell ref="B284:I284"/>
    <mergeCell ref="C285:I285"/>
    <mergeCell ref="C286:I286"/>
    <mergeCell ref="D252:E252"/>
    <mergeCell ref="D253:E253"/>
    <mergeCell ref="F28:H28"/>
    <mergeCell ref="C29:D29"/>
    <mergeCell ref="F29:H29"/>
    <mergeCell ref="C31:D31"/>
    <mergeCell ref="K232:W232"/>
    <mergeCell ref="M233:W233"/>
    <mergeCell ref="F222:H222"/>
    <mergeCell ref="B91:H91"/>
    <mergeCell ref="K71:U71"/>
    <mergeCell ref="K86:U89"/>
    <mergeCell ref="B212:I213"/>
    <mergeCell ref="C93:D93"/>
    <mergeCell ref="C94:D94"/>
    <mergeCell ref="C107:I107"/>
    <mergeCell ref="C108:I108"/>
    <mergeCell ref="C95:D95"/>
    <mergeCell ref="F97:H97"/>
    <mergeCell ref="B159:I161"/>
    <mergeCell ref="F142:H142"/>
    <mergeCell ref="C192:D192"/>
    <mergeCell ref="F217:H217"/>
    <mergeCell ref="F195:H195"/>
    <mergeCell ref="B195:D195"/>
    <mergeCell ref="F202:H202"/>
    <mergeCell ref="A1:I1"/>
    <mergeCell ref="C304:D304"/>
    <mergeCell ref="B315:D315"/>
    <mergeCell ref="C67:D67"/>
    <mergeCell ref="C78:D78"/>
    <mergeCell ref="F17:H17"/>
    <mergeCell ref="F113:H113"/>
    <mergeCell ref="F114:H114"/>
    <mergeCell ref="F115:H115"/>
    <mergeCell ref="F116:H116"/>
    <mergeCell ref="F109:H109"/>
    <mergeCell ref="F228:H228"/>
    <mergeCell ref="F95:H95"/>
    <mergeCell ref="F18:H18"/>
    <mergeCell ref="F55:H55"/>
    <mergeCell ref="F82:H82"/>
    <mergeCell ref="F52:H52"/>
    <mergeCell ref="F53:H53"/>
    <mergeCell ref="C190:D190"/>
    <mergeCell ref="F190:H190"/>
    <mergeCell ref="F171:H171"/>
    <mergeCell ref="C171:D171"/>
    <mergeCell ref="C170:D170"/>
    <mergeCell ref="F170:H170"/>
    <mergeCell ref="F110:H110"/>
    <mergeCell ref="F111:H111"/>
    <mergeCell ref="C79:D79"/>
    <mergeCell ref="F50:H50"/>
    <mergeCell ref="B62:E62"/>
    <mergeCell ref="B63:H63"/>
    <mergeCell ref="B49:H49"/>
    <mergeCell ref="F51:H51"/>
    <mergeCell ref="F64:H64"/>
    <mergeCell ref="F67:H67"/>
    <mergeCell ref="F68:H68"/>
    <mergeCell ref="F65:H65"/>
    <mergeCell ref="B7:I10"/>
    <mergeCell ref="A5:A9"/>
    <mergeCell ref="B22:I25"/>
    <mergeCell ref="A21:A24"/>
    <mergeCell ref="B44:I47"/>
    <mergeCell ref="A40:A44"/>
    <mergeCell ref="B137:H137"/>
    <mergeCell ref="F121:H121"/>
    <mergeCell ref="F122:H122"/>
    <mergeCell ref="F123:H123"/>
    <mergeCell ref="F124:H124"/>
    <mergeCell ref="F125:H125"/>
    <mergeCell ref="F126:H126"/>
    <mergeCell ref="A70:A73"/>
    <mergeCell ref="F35:G35"/>
    <mergeCell ref="F36:G36"/>
    <mergeCell ref="F37:G37"/>
    <mergeCell ref="F38:G38"/>
    <mergeCell ref="B71:I75"/>
    <mergeCell ref="F54:H54"/>
    <mergeCell ref="C83:D83"/>
    <mergeCell ref="F83:H83"/>
    <mergeCell ref="F92:H92"/>
    <mergeCell ref="C50:D50"/>
    <mergeCell ref="A489:A493"/>
    <mergeCell ref="E474:F474"/>
    <mergeCell ref="E475:F475"/>
    <mergeCell ref="E472:F472"/>
    <mergeCell ref="E473:F473"/>
    <mergeCell ref="A477:A479"/>
    <mergeCell ref="B478:I481"/>
    <mergeCell ref="B487:D487"/>
    <mergeCell ref="F487:H487"/>
    <mergeCell ref="F484:H484"/>
    <mergeCell ref="F485:H485"/>
    <mergeCell ref="F486:H486"/>
    <mergeCell ref="B490:I493"/>
    <mergeCell ref="B486:D486"/>
    <mergeCell ref="B472:C472"/>
    <mergeCell ref="B473:C473"/>
    <mergeCell ref="B474:C474"/>
    <mergeCell ref="B484:D484"/>
    <mergeCell ref="B485:D485"/>
    <mergeCell ref="B482:H482"/>
    <mergeCell ref="A258:A261"/>
    <mergeCell ref="B288:I288"/>
    <mergeCell ref="C289:I289"/>
    <mergeCell ref="C193:D193"/>
    <mergeCell ref="B330:I330"/>
    <mergeCell ref="B167:H167"/>
    <mergeCell ref="B162:I164"/>
    <mergeCell ref="C169:D169"/>
    <mergeCell ref="F169:H169"/>
    <mergeCell ref="F172:H172"/>
    <mergeCell ref="A179:A180"/>
    <mergeCell ref="C265:D265"/>
    <mergeCell ref="B201:H201"/>
    <mergeCell ref="D250:E250"/>
    <mergeCell ref="D251:E251"/>
    <mergeCell ref="D254:E254"/>
    <mergeCell ref="D255:E255"/>
    <mergeCell ref="B256:E256"/>
    <mergeCell ref="B249:F249"/>
    <mergeCell ref="C205:D205"/>
    <mergeCell ref="B210:I211"/>
    <mergeCell ref="C320:I320"/>
    <mergeCell ref="C321:I321"/>
    <mergeCell ref="B323:I323"/>
    <mergeCell ref="A130:A133"/>
    <mergeCell ref="F155:H155"/>
    <mergeCell ref="F118:H118"/>
    <mergeCell ref="F119:H119"/>
    <mergeCell ref="F120:H120"/>
    <mergeCell ref="F127:H127"/>
    <mergeCell ref="F128:H128"/>
    <mergeCell ref="C138:D138"/>
    <mergeCell ref="B198:I200"/>
    <mergeCell ref="A145:A148"/>
    <mergeCell ref="B146:I147"/>
    <mergeCell ref="B148:I150"/>
    <mergeCell ref="B152:H152"/>
    <mergeCell ref="C153:D153"/>
    <mergeCell ref="F153:H153"/>
    <mergeCell ref="C154:D154"/>
    <mergeCell ref="F154:H154"/>
    <mergeCell ref="C155:D155"/>
    <mergeCell ref="F192:H192"/>
    <mergeCell ref="A99:A103"/>
    <mergeCell ref="A158:A161"/>
    <mergeCell ref="B186:I187"/>
    <mergeCell ref="B165:I165"/>
    <mergeCell ref="C168:D168"/>
    <mergeCell ref="F168:H168"/>
    <mergeCell ref="A197:A199"/>
    <mergeCell ref="B176:I177"/>
    <mergeCell ref="C191:D191"/>
    <mergeCell ref="F191:H191"/>
    <mergeCell ref="F143:H143"/>
    <mergeCell ref="C172:D172"/>
    <mergeCell ref="B189:H189"/>
    <mergeCell ref="B174:D174"/>
    <mergeCell ref="C173:D173"/>
    <mergeCell ref="F173:H173"/>
    <mergeCell ref="F174:H174"/>
    <mergeCell ref="B180:I181"/>
    <mergeCell ref="B182:I185"/>
    <mergeCell ref="C140:D140"/>
    <mergeCell ref="F140:H140"/>
    <mergeCell ref="C141:D141"/>
    <mergeCell ref="F141:H141"/>
    <mergeCell ref="C142:D142"/>
    <mergeCell ref="F439:H439"/>
    <mergeCell ref="B435:H435"/>
    <mergeCell ref="F436:H436"/>
    <mergeCell ref="F437:H437"/>
    <mergeCell ref="F440:H440"/>
    <mergeCell ref="B401:E401"/>
    <mergeCell ref="B424:I424"/>
    <mergeCell ref="F423:I423"/>
    <mergeCell ref="B404:E404"/>
    <mergeCell ref="F404:I404"/>
    <mergeCell ref="B405:E405"/>
    <mergeCell ref="F405:I405"/>
    <mergeCell ref="B425:I425"/>
    <mergeCell ref="B426:I426"/>
    <mergeCell ref="B421:E421"/>
    <mergeCell ref="F421:I421"/>
    <mergeCell ref="B422:E422"/>
    <mergeCell ref="F422:I422"/>
    <mergeCell ref="B423:E423"/>
    <mergeCell ref="F420:I420"/>
    <mergeCell ref="F416:I416"/>
    <mergeCell ref="B403:E403"/>
    <mergeCell ref="F403:I403"/>
    <mergeCell ref="B402:E402"/>
  </mergeCells>
  <dataValidations xWindow="1016" yWindow="263" count="3">
    <dataValidation allowBlank="1" showInputMessage="1" showErrorMessage="1" promptTitle="Perhatian" prompt="Jangan Lupa diakhiri dgn tanda titik" sqref="N339 N352 N243:N255 M258:N258 M240:W240 N242:W242 M242:M255 O243:W258"/>
    <dataValidation allowBlank="1" showInputMessage="1" showErrorMessage="1" promptTitle="Perhatian!!!" prompt="Kotak  ini biarkan tetep kosong, jangan di isi ya..." sqref="N330:X338 O351:X351 N350:N351 M233:W235"/>
    <dataValidation type="list" allowBlank="1" showInputMessage="1" promptTitle="Silahkan Memilih" prompt="Pilih list dibawah ini" sqref="D178">
      <formula1>"Lancar,Kurang Lancar,Diragukan,Macet"</formula1>
    </dataValidation>
  </dataValidations>
  <printOptions horizontalCentered="1"/>
  <pageMargins left="0.51181102362204722" right="0.23622047244094491" top="0.74803149606299213" bottom="0.86614173228346458" header="0.31496062992125984" footer="0.31496062992125984"/>
  <pageSetup paperSize="9" scale="81" firstPageNumber="25" fitToHeight="0" orientation="portrait" useFirstPageNumber="1" r:id="rId2"/>
  <headerFooter>
    <oddFooter>&amp;C&amp;"+,Bold Italic"&amp;K000099&amp;P</oddFooter>
  </headerFooter>
  <rowBreaks count="9" manualBreakCount="9">
    <brk id="48" max="8" man="1"/>
    <brk id="98" max="8" man="1"/>
    <brk id="144" max="8" man="1"/>
    <brk id="196" max="8" man="1"/>
    <brk id="231" max="8" man="1"/>
    <brk id="283" max="8" man="1"/>
    <brk id="317" max="8" man="1"/>
    <brk id="364" max="8" man="1"/>
    <brk id="455" max="8"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1" sqref="B1"/>
    </sheetView>
  </sheetViews>
  <sheetFormatPr defaultRowHeight="15.5" x14ac:dyDescent="0.35"/>
  <cols>
    <col min="1" max="1" width="3.33203125" style="301" customWidth="1"/>
  </cols>
  <sheetData>
    <row r="1" spans="1:2" x14ac:dyDescent="0.35">
      <c r="A1" s="301">
        <v>1</v>
      </c>
      <c r="B1" t="s">
        <v>1201</v>
      </c>
    </row>
    <row r="2" spans="1:2" x14ac:dyDescent="0.35">
      <c r="B2" t="s">
        <v>253</v>
      </c>
    </row>
    <row r="3" spans="1:2" x14ac:dyDescent="0.35">
      <c r="B3" t="s">
        <v>254</v>
      </c>
    </row>
    <row r="4" spans="1:2" x14ac:dyDescent="0.35">
      <c r="B4" t="s">
        <v>255</v>
      </c>
    </row>
    <row r="5" spans="1:2" x14ac:dyDescent="0.35">
      <c r="B5" t="s">
        <v>256</v>
      </c>
    </row>
    <row r="6" spans="1:2" x14ac:dyDescent="0.35">
      <c r="B6" t="s">
        <v>257</v>
      </c>
    </row>
    <row r="7" spans="1:2" x14ac:dyDescent="0.35">
      <c r="B7" t="s">
        <v>258</v>
      </c>
    </row>
  </sheetData>
  <customSheetViews>
    <customSheetView guid="{EBF27D8D-2DD9-43E5-8C42-19F0B73014F5}" state="hidden">
      <selection activeCell="B1" sqref="B1"/>
      <pageMargins left="0.7" right="0.7" top="0.75" bottom="0.75" header="0.3" footer="0.3"/>
    </customSheetView>
  </customSheetView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K255"/>
  <sheetViews>
    <sheetView view="pageBreakPreview" topLeftCell="A205" zoomScale="86" zoomScaleSheetLayoutView="86" workbookViewId="0">
      <selection activeCell="B190" sqref="B190:I192"/>
    </sheetView>
  </sheetViews>
  <sheetFormatPr defaultColWidth="10" defaultRowHeight="15.5" x14ac:dyDescent="0.35"/>
  <cols>
    <col min="1" max="1" width="14.08203125" style="460" customWidth="1"/>
    <col min="2" max="2" width="3.83203125" style="455" customWidth="1"/>
    <col min="3" max="3" width="26.83203125" style="455" customWidth="1"/>
    <col min="4" max="4" width="15" style="455" customWidth="1"/>
    <col min="5" max="5" width="17.33203125" style="455" customWidth="1"/>
    <col min="6" max="6" width="15.08203125" style="455" customWidth="1"/>
    <col min="7" max="7" width="2.08203125" style="455" customWidth="1"/>
    <col min="8" max="8" width="4.25" style="455" customWidth="1"/>
    <col min="9" max="9" width="6.5" style="455" customWidth="1"/>
    <col min="10" max="10" width="0.58203125" style="207" customWidth="1"/>
    <col min="11" max="11" width="9" style="455"/>
    <col min="12" max="12" width="6.83203125" style="456" customWidth="1"/>
    <col min="13" max="13" width="2.5" style="456" customWidth="1"/>
    <col min="14" max="16384" width="10" style="456"/>
  </cols>
  <sheetData>
    <row r="1" spans="1:11" x14ac:dyDescent="0.35">
      <c r="A1" s="2859" t="str">
        <f>'2 kata'!B1</f>
        <v>Laporan Keuangan Balai Pelestarian Nilai Budaya Bali Untuk Periode yang Berakhir 31 Desember 2019</v>
      </c>
      <c r="B1" s="2859"/>
      <c r="C1" s="2859"/>
      <c r="D1" s="2859"/>
      <c r="E1" s="2859"/>
      <c r="F1" s="2859"/>
      <c r="G1" s="2859"/>
      <c r="H1" s="2859"/>
      <c r="I1" s="2859"/>
      <c r="J1" s="472"/>
    </row>
    <row r="2" spans="1:11" ht="6" customHeight="1" x14ac:dyDescent="0.35">
      <c r="A2" s="473"/>
      <c r="B2" s="474"/>
      <c r="C2" s="474"/>
      <c r="D2" s="475"/>
      <c r="E2" s="475"/>
      <c r="F2" s="474"/>
      <c r="G2" s="474"/>
      <c r="H2" s="474"/>
      <c r="I2" s="474"/>
      <c r="J2" s="476"/>
    </row>
    <row r="3" spans="1:11" ht="16.5" x14ac:dyDescent="0.35">
      <c r="A3" s="987"/>
      <c r="B3" s="1064" t="s">
        <v>1784</v>
      </c>
      <c r="C3" s="995"/>
      <c r="D3" s="995"/>
      <c r="E3" s="995"/>
      <c r="F3" s="995"/>
      <c r="G3" s="995"/>
      <c r="H3" s="995"/>
      <c r="I3" s="995"/>
      <c r="J3" s="1023"/>
    </row>
    <row r="4" spans="1:11" s="468" customFormat="1" ht="6.75" customHeight="1" x14ac:dyDescent="0.35">
      <c r="A4" s="987"/>
      <c r="B4" s="1022"/>
      <c r="C4" s="995"/>
      <c r="D4" s="995"/>
      <c r="E4" s="995"/>
      <c r="F4" s="995"/>
      <c r="G4" s="995"/>
      <c r="H4" s="995"/>
      <c r="I4" s="995"/>
      <c r="J4" s="1023"/>
      <c r="K4" s="465"/>
    </row>
    <row r="5" spans="1:11" x14ac:dyDescent="0.35">
      <c r="A5" s="2868" t="str">
        <f>"Pendapatan PNBP "&amp;TEXT($E$14,"Rp#.##0")</f>
        <v>Pendapatan PNBP Rp3.299.999</v>
      </c>
      <c r="B5" s="1022" t="s">
        <v>1789</v>
      </c>
      <c r="C5" s="995"/>
      <c r="D5" s="995"/>
      <c r="E5" s="995"/>
      <c r="F5" s="995"/>
      <c r="G5" s="995"/>
      <c r="H5" s="995"/>
      <c r="I5" s="995"/>
      <c r="J5" s="1023"/>
    </row>
    <row r="6" spans="1:11" ht="7.5" hidden="1" customHeight="1" x14ac:dyDescent="0.35">
      <c r="A6" s="2868"/>
      <c r="B6" s="1024"/>
      <c r="C6" s="990"/>
      <c r="D6" s="990"/>
      <c r="E6" s="990"/>
      <c r="F6" s="990"/>
      <c r="G6" s="990"/>
      <c r="H6" s="990"/>
      <c r="I6" s="990"/>
      <c r="J6" s="991"/>
    </row>
    <row r="7" spans="1:11" x14ac:dyDescent="0.35">
      <c r="A7" s="2868"/>
      <c r="B7" s="2244" t="str">
        <f>"Jumlah Pendapatan untuk periode yang berakhir pada "&amp;Input!$M$24&amp;" dan "&amp;Input!$M$25&amp;" adalah sebesar "&amp;TEXT(Input!$K$590,"Rp#.##0")&amp;" dan "&amp;TEXT(Input!$W$590,"Rp#.##0")&amp;". Pendapatan tersebut terdiri dari :"</f>
        <v>Jumlah Pendapatan untuk periode yang berakhir pada 31 Desember 2019 dan 31 Desember 2018 adalah sebesar Rp3.299.999 dan Rp900.000. Pendapatan tersebut terdiri dari :</v>
      </c>
      <c r="C7" s="2244"/>
      <c r="D7" s="2244"/>
      <c r="E7" s="2244"/>
      <c r="F7" s="2244"/>
      <c r="G7" s="2244"/>
      <c r="H7" s="2244"/>
      <c r="I7" s="2244"/>
      <c r="J7" s="1025"/>
    </row>
    <row r="8" spans="1:11" x14ac:dyDescent="0.35">
      <c r="A8" s="2868"/>
      <c r="B8" s="2244"/>
      <c r="C8" s="2244"/>
      <c r="D8" s="2244"/>
      <c r="E8" s="2244"/>
      <c r="F8" s="2244"/>
      <c r="G8" s="2244"/>
      <c r="H8" s="2244"/>
      <c r="I8" s="2244"/>
      <c r="J8" s="1025"/>
    </row>
    <row r="9" spans="1:11" ht="9.75" customHeight="1" x14ac:dyDescent="0.35">
      <c r="A9" s="2868"/>
      <c r="B9" s="1026"/>
      <c r="C9" s="1026"/>
      <c r="D9" s="1026"/>
      <c r="E9" s="1026"/>
      <c r="F9" s="1027"/>
      <c r="G9" s="1027"/>
      <c r="H9" s="1027"/>
      <c r="I9" s="1027"/>
      <c r="J9" s="1028"/>
    </row>
    <row r="10" spans="1:11" s="458" customFormat="1" x14ac:dyDescent="0.35">
      <c r="A10" s="987"/>
      <c r="B10" s="2825" t="str">
        <f>"Rincian Pendapatan Negara Bukan Pajak "&amp;Input!$M$24&amp;" dan "&amp;Input!$M$25&amp;" "</f>
        <v xml:space="preserve">Rincian Pendapatan Negara Bukan Pajak 31 Desember 2019 dan 31 Desember 2018 </v>
      </c>
      <c r="C10" s="2825"/>
      <c r="D10" s="2825"/>
      <c r="E10" s="2825"/>
      <c r="F10" s="2825"/>
      <c r="G10" s="2825"/>
      <c r="H10" s="2825"/>
      <c r="I10" s="2825"/>
      <c r="J10" s="1029"/>
    </row>
    <row r="11" spans="1:11" s="458" customFormat="1" ht="41.25" customHeight="1" x14ac:dyDescent="0.35">
      <c r="A11" s="987"/>
      <c r="B11" s="1030" t="s">
        <v>133</v>
      </c>
      <c r="C11" s="2826" t="s">
        <v>45</v>
      </c>
      <c r="D11" s="2827"/>
      <c r="E11" s="1031" t="str">
        <f>Input!$M$24</f>
        <v>31 Desember 2019</v>
      </c>
      <c r="F11" s="2828" t="str">
        <f>Input!$M$25</f>
        <v>31 Desember 2018</v>
      </c>
      <c r="G11" s="2829"/>
      <c r="H11" s="2830" t="s">
        <v>1785</v>
      </c>
      <c r="I11" s="2831"/>
      <c r="J11" s="1029"/>
    </row>
    <row r="12" spans="1:11" s="458" customFormat="1" x14ac:dyDescent="0.35">
      <c r="A12" s="987"/>
      <c r="B12" s="1032">
        <v>1</v>
      </c>
      <c r="C12" s="2813" t="s">
        <v>1255</v>
      </c>
      <c r="D12" s="2814"/>
      <c r="E12" s="1274">
        <v>1799999</v>
      </c>
      <c r="F12" s="2815">
        <v>48000000</v>
      </c>
      <c r="G12" s="2862">
        <v>103664</v>
      </c>
      <c r="H12" s="2860">
        <f>IF(ISERROR((E12-F12)/F12),0,((E12-F12)/F12))</f>
        <v>-0.9625000208333333</v>
      </c>
      <c r="I12" s="2861"/>
      <c r="J12" s="1029"/>
    </row>
    <row r="13" spans="1:11" s="458" customFormat="1" ht="19.5" customHeight="1" x14ac:dyDescent="0.35">
      <c r="A13" s="987"/>
      <c r="B13" s="1032">
        <v>2</v>
      </c>
      <c r="C13" s="2813" t="s">
        <v>1787</v>
      </c>
      <c r="D13" s="2814"/>
      <c r="E13" s="1039">
        <v>1500000</v>
      </c>
      <c r="F13" s="2815">
        <v>900000</v>
      </c>
      <c r="G13" s="2862">
        <v>13443249</v>
      </c>
      <c r="H13" s="2860">
        <f t="shared" ref="H13:H14" si="0">IF(ISERROR((E13-F13)/F13),0,((E13-F13)/F13))</f>
        <v>0.66666666666666663</v>
      </c>
      <c r="I13" s="2861"/>
      <c r="J13" s="1029"/>
    </row>
    <row r="14" spans="1:11" s="458" customFormat="1" x14ac:dyDescent="0.35">
      <c r="A14" s="987"/>
      <c r="B14" s="1033"/>
      <c r="C14" s="2355" t="s">
        <v>116</v>
      </c>
      <c r="D14" s="2356"/>
      <c r="E14" s="1034">
        <f>SUM(E12:E13)</f>
        <v>3299999</v>
      </c>
      <c r="F14" s="2807">
        <f>F12+F13</f>
        <v>48900000</v>
      </c>
      <c r="G14" s="2808"/>
      <c r="H14" s="2863">
        <f t="shared" si="0"/>
        <v>-0.9325153578732106</v>
      </c>
      <c r="I14" s="2864"/>
      <c r="J14" s="817"/>
    </row>
    <row r="15" spans="1:11" s="458" customFormat="1" x14ac:dyDescent="0.35">
      <c r="A15" s="987"/>
      <c r="B15" s="1024"/>
      <c r="C15" s="1024"/>
      <c r="D15" s="1024"/>
      <c r="E15" s="1035"/>
      <c r="F15" s="1024"/>
      <c r="G15" s="1024"/>
      <c r="H15" s="1024"/>
      <c r="I15" s="1024"/>
      <c r="J15" s="817"/>
    </row>
    <row r="16" spans="1:11" s="458" customFormat="1" x14ac:dyDescent="0.35">
      <c r="A16" s="987"/>
      <c r="B16" s="2244" t="s">
        <v>2412</v>
      </c>
      <c r="C16" s="2244"/>
      <c r="D16" s="2244"/>
      <c r="E16" s="2244"/>
      <c r="F16" s="2244"/>
      <c r="G16" s="2244"/>
      <c r="H16" s="2244"/>
      <c r="I16" s="2244"/>
      <c r="J16" s="817"/>
    </row>
    <row r="17" spans="1:10" s="458" customFormat="1" x14ac:dyDescent="0.35">
      <c r="A17" s="987"/>
      <c r="B17" s="2244"/>
      <c r="C17" s="2244"/>
      <c r="D17" s="2244"/>
      <c r="E17" s="2244"/>
      <c r="F17" s="2244"/>
      <c r="G17" s="2244"/>
      <c r="H17" s="2244"/>
      <c r="I17" s="2244"/>
      <c r="J17" s="817"/>
    </row>
    <row r="18" spans="1:10" s="458" customFormat="1" x14ac:dyDescent="0.35">
      <c r="A18" s="987"/>
      <c r="B18" s="2244"/>
      <c r="C18" s="2244"/>
      <c r="D18" s="2244"/>
      <c r="E18" s="2244"/>
      <c r="F18" s="2244"/>
      <c r="G18" s="2244"/>
      <c r="H18" s="2244"/>
      <c r="I18" s="2244"/>
      <c r="J18" s="817"/>
    </row>
    <row r="19" spans="1:10" s="458" customFormat="1" x14ac:dyDescent="0.35">
      <c r="A19" s="987"/>
      <c r="B19" s="1024"/>
      <c r="C19" s="1024"/>
      <c r="D19" s="1024"/>
      <c r="E19" s="1024"/>
      <c r="F19" s="1024"/>
      <c r="G19" s="1024"/>
      <c r="H19" s="1024"/>
      <c r="I19" s="1024"/>
      <c r="J19" s="817"/>
    </row>
    <row r="20" spans="1:10" s="458" customFormat="1" x14ac:dyDescent="0.3">
      <c r="A20" s="2868" t="str">
        <f>"Beban Pegawai "&amp;TEXT($E$43,"Rp#.##0")</f>
        <v>Beban Pegawai Rp3.316.366.778</v>
      </c>
      <c r="B20" s="1022" t="s">
        <v>1788</v>
      </c>
      <c r="C20" s="995"/>
      <c r="D20" s="995"/>
      <c r="E20" s="1037"/>
      <c r="F20" s="995"/>
      <c r="G20" s="995"/>
      <c r="H20" s="995"/>
      <c r="I20" s="995"/>
      <c r="J20" s="817"/>
    </row>
    <row r="21" spans="1:10" s="458" customFormat="1" ht="11.25" hidden="1" customHeight="1" x14ac:dyDescent="0.3">
      <c r="A21" s="2868"/>
      <c r="B21" s="1024"/>
      <c r="C21" s="990"/>
      <c r="D21" s="990"/>
      <c r="E21" s="990"/>
      <c r="F21" s="990"/>
      <c r="G21" s="990"/>
      <c r="H21" s="990"/>
      <c r="I21" s="990"/>
      <c r="J21" s="817"/>
    </row>
    <row r="22" spans="1:10" s="458" customFormat="1" x14ac:dyDescent="0.35">
      <c r="A22" s="2868"/>
      <c r="B22" s="2244" t="str">
        <f>"Jumlah Beban Pegawai pada "&amp;Input!M24&amp;" dan "&amp;Input!$M$25&amp;" adalah masing-masing sebesar "&amp;TEXT(Input!$L$766,"Rp#.##0")&amp;" dan "&amp;TEXT(Input!$M$766,"Rp#.##0")&amp;". Beban Pegawai adalah beban atas kompensasi, baik dalam bentuk uang maupun barang yang ditetapkan berdasarkan peraturan perundang-undangan yang diberikan kepada pejabat negara, Pegawai Negeri Sipil (PNS), dan "&amp;"pegawai yang dipekerjakan oleh pemerintah yang belum berstatus PNS sebagai imbalan atas pekerjaan yang telah dilaksanakan kecuali pekerjaan yang berkaitan dengan pembentukan modal. "</f>
        <v xml:space="preserve">Jumlah Beban Pegawai pada 31 Desember 2019 dan 31 Desember 2018 adalah masing-masing sebesar Rp3.316.366.778 dan Rp3.415.029.601. Beban Pegawai adalah beban atas kompensasi, baik dalam bentuk uang maupun barang yang ditetapkan berdasarkan peraturan perundang-undangan yang diberikan kepada pejabat negara, Pegawai Negeri Sipil (PNS), dan pegawai yang dipekerjakan oleh pemerintah yang belum berstatus PNS sebagai imbalan atas pekerjaan yang telah dilaksanakan kecuali pekerjaan yang berkaitan dengan pembentukan modal. </v>
      </c>
      <c r="C22" s="2244"/>
      <c r="D22" s="2244"/>
      <c r="E22" s="2244"/>
      <c r="F22" s="2244"/>
      <c r="G22" s="2244"/>
      <c r="H22" s="2244"/>
      <c r="I22" s="2244"/>
      <c r="J22" s="817"/>
    </row>
    <row r="23" spans="1:10" s="458" customFormat="1" x14ac:dyDescent="0.35">
      <c r="A23" s="2868"/>
      <c r="B23" s="2244"/>
      <c r="C23" s="2244"/>
      <c r="D23" s="2244"/>
      <c r="E23" s="2244"/>
      <c r="F23" s="2244"/>
      <c r="G23" s="2244"/>
      <c r="H23" s="2244"/>
      <c r="I23" s="2244"/>
      <c r="J23" s="817"/>
    </row>
    <row r="24" spans="1:10" s="458" customFormat="1" x14ac:dyDescent="0.35">
      <c r="A24" s="2868"/>
      <c r="B24" s="2244"/>
      <c r="C24" s="2244"/>
      <c r="D24" s="2244"/>
      <c r="E24" s="2244"/>
      <c r="F24" s="2244"/>
      <c r="G24" s="2244"/>
      <c r="H24" s="2244"/>
      <c r="I24" s="2244"/>
      <c r="J24" s="817"/>
    </row>
    <row r="25" spans="1:10" s="458" customFormat="1" x14ac:dyDescent="0.35">
      <c r="A25" s="1057"/>
      <c r="B25" s="2244"/>
      <c r="C25" s="2244"/>
      <c r="D25" s="2244"/>
      <c r="E25" s="2244"/>
      <c r="F25" s="2244"/>
      <c r="G25" s="2244"/>
      <c r="H25" s="2244"/>
      <c r="I25" s="2244"/>
      <c r="J25" s="817"/>
    </row>
    <row r="26" spans="1:10" s="458" customFormat="1" x14ac:dyDescent="0.35">
      <c r="A26" s="1061"/>
      <c r="B26" s="2244"/>
      <c r="C26" s="2244"/>
      <c r="D26" s="2244"/>
      <c r="E26" s="2244"/>
      <c r="F26" s="2244"/>
      <c r="G26" s="2244"/>
      <c r="H26" s="2244"/>
      <c r="I26" s="2244"/>
      <c r="J26" s="817"/>
    </row>
    <row r="27" spans="1:10" s="467" customFormat="1" x14ac:dyDescent="0.35">
      <c r="A27" s="1061"/>
      <c r="B27" s="2118"/>
      <c r="C27" s="2118"/>
      <c r="D27" s="2118"/>
      <c r="E27" s="2118"/>
      <c r="F27" s="2118"/>
      <c r="G27" s="2118"/>
      <c r="H27" s="2118"/>
      <c r="I27" s="2118"/>
      <c r="J27" s="817"/>
    </row>
    <row r="28" spans="1:10" s="458" customFormat="1" ht="6.75" customHeight="1" x14ac:dyDescent="0.3">
      <c r="A28" s="1061"/>
      <c r="B28" s="1026"/>
      <c r="C28" s="1026"/>
      <c r="D28" s="1026"/>
      <c r="E28" s="1026"/>
      <c r="F28" s="1027"/>
      <c r="G28" s="1027"/>
      <c r="H28" s="1027"/>
      <c r="I28" s="1027"/>
      <c r="J28" s="817"/>
    </row>
    <row r="29" spans="1:10" s="458" customFormat="1" x14ac:dyDescent="0.35">
      <c r="A29" s="987"/>
      <c r="B29" s="2825" t="str">
        <f>"Rincian Beban Pegawai "&amp;Input!$M$24&amp;" dan "&amp;Input!$M$25&amp;" "</f>
        <v xml:space="preserve">Rincian Beban Pegawai 31 Desember 2019 dan 31 Desember 2018 </v>
      </c>
      <c r="C29" s="2825"/>
      <c r="D29" s="2825"/>
      <c r="E29" s="2825"/>
      <c r="F29" s="2825"/>
      <c r="G29" s="2825"/>
      <c r="H29" s="2825"/>
      <c r="I29" s="2825"/>
      <c r="J29" s="817"/>
    </row>
    <row r="30" spans="1:10" s="458" customFormat="1" ht="45.75" customHeight="1" x14ac:dyDescent="0.35">
      <c r="A30" s="987"/>
      <c r="B30" s="2510" t="s">
        <v>1810</v>
      </c>
      <c r="C30" s="2578"/>
      <c r="D30" s="2511"/>
      <c r="E30" s="934" t="str">
        <f>Input!$M$24</f>
        <v>31 Desember 2019</v>
      </c>
      <c r="F30" s="2540" t="str">
        <f>Input!$M$25</f>
        <v>31 Desember 2018</v>
      </c>
      <c r="G30" s="2541"/>
      <c r="H30" s="2609" t="s">
        <v>1785</v>
      </c>
      <c r="I30" s="2611"/>
      <c r="J30" s="1036"/>
    </row>
    <row r="31" spans="1:10" s="458" customFormat="1" x14ac:dyDescent="0.35">
      <c r="A31" s="987"/>
      <c r="B31" s="2865" t="s">
        <v>2257</v>
      </c>
      <c r="C31" s="2866"/>
      <c r="D31" s="2867"/>
      <c r="E31" s="1041">
        <f>Input!D72</f>
        <v>1938588200</v>
      </c>
      <c r="F31" s="2787">
        <f>Input!J72</f>
        <v>1959291100</v>
      </c>
      <c r="G31" s="2788"/>
      <c r="H31" s="2832">
        <f t="shared" ref="H31:H43" si="1">IF(ISERROR((E31-F31)/F31),0,((E31-F31)/F31))</f>
        <v>-1.0566525821507584E-2</v>
      </c>
      <c r="I31" s="2833"/>
      <c r="J31" s="1036"/>
    </row>
    <row r="32" spans="1:10" s="458" customFormat="1" x14ac:dyDescent="0.35">
      <c r="A32" s="987"/>
      <c r="B32" s="2865" t="s">
        <v>2258</v>
      </c>
      <c r="C32" s="2866"/>
      <c r="D32" s="2867"/>
      <c r="E32" s="1041">
        <f>Input!H73</f>
        <v>26381</v>
      </c>
      <c r="F32" s="2787">
        <f>Input!M73</f>
        <v>28509</v>
      </c>
      <c r="G32" s="2788"/>
      <c r="H32" s="2832">
        <f t="shared" si="1"/>
        <v>-7.4643095162931009E-2</v>
      </c>
      <c r="I32" s="2833"/>
      <c r="J32" s="1036"/>
    </row>
    <row r="33" spans="1:10" s="467" customFormat="1" x14ac:dyDescent="0.35">
      <c r="A33" s="1368"/>
      <c r="B33" s="2865" t="s">
        <v>2250</v>
      </c>
      <c r="C33" s="2866"/>
      <c r="D33" s="2867"/>
      <c r="E33" s="1041">
        <f>Input!D74</f>
        <v>134452810</v>
      </c>
      <c r="F33" s="2787">
        <f>Input!J74</f>
        <v>136176960</v>
      </c>
      <c r="G33" s="2788"/>
      <c r="H33" s="2832">
        <f t="shared" ref="H33:H40" si="2">IF(ISERROR((E33-F33)/F33),0,((E33-F33)/F33))</f>
        <v>-1.2661099205034391E-2</v>
      </c>
      <c r="I33" s="2833"/>
      <c r="J33" s="1036"/>
    </row>
    <row r="34" spans="1:10" s="467" customFormat="1" x14ac:dyDescent="0.35">
      <c r="A34" s="1368"/>
      <c r="B34" s="2865" t="s">
        <v>2251</v>
      </c>
      <c r="C34" s="2866"/>
      <c r="D34" s="2867"/>
      <c r="E34" s="1041">
        <f>Input!D75</f>
        <v>38515574</v>
      </c>
      <c r="F34" s="2787">
        <f>Input!J75</f>
        <v>36866956</v>
      </c>
      <c r="G34" s="2788"/>
      <c r="H34" s="2832">
        <f t="shared" si="2"/>
        <v>4.4718039645041487E-2</v>
      </c>
      <c r="I34" s="2833"/>
      <c r="J34" s="1036"/>
    </row>
    <row r="35" spans="1:10" s="467" customFormat="1" x14ac:dyDescent="0.35">
      <c r="A35" s="1368"/>
      <c r="B35" s="2865" t="s">
        <v>2252</v>
      </c>
      <c r="C35" s="2866"/>
      <c r="D35" s="2867"/>
      <c r="E35" s="1041">
        <f>Input!D76</f>
        <v>25200000</v>
      </c>
      <c r="F35" s="2787">
        <f>Input!J76</f>
        <v>25200000</v>
      </c>
      <c r="G35" s="2788"/>
      <c r="H35" s="2832">
        <f t="shared" si="2"/>
        <v>0</v>
      </c>
      <c r="I35" s="2833"/>
      <c r="J35" s="1036"/>
    </row>
    <row r="36" spans="1:10" s="467" customFormat="1" x14ac:dyDescent="0.35">
      <c r="A36" s="1451"/>
      <c r="B36" s="1452" t="s">
        <v>2374</v>
      </c>
      <c r="C36" s="1453"/>
      <c r="D36" s="1454"/>
      <c r="E36" s="1041">
        <f>Input!D77</f>
        <v>776550000</v>
      </c>
      <c r="F36" s="2857">
        <f>Input!J77</f>
        <v>817100000</v>
      </c>
      <c r="G36" s="2858"/>
      <c r="H36" s="1455"/>
      <c r="I36" s="1456"/>
      <c r="J36" s="1036"/>
    </row>
    <row r="37" spans="1:10" s="467" customFormat="1" x14ac:dyDescent="0.35">
      <c r="A37" s="1368"/>
      <c r="B37" s="2865" t="s">
        <v>2253</v>
      </c>
      <c r="C37" s="2866"/>
      <c r="D37" s="2867"/>
      <c r="E37" s="1041">
        <f>Input!D78</f>
        <v>39843413</v>
      </c>
      <c r="F37" s="2787">
        <f>Input!J78</f>
        <v>37367836</v>
      </c>
      <c r="G37" s="2788"/>
      <c r="H37" s="2832">
        <f t="shared" si="2"/>
        <v>6.6248872426008298E-2</v>
      </c>
      <c r="I37" s="2833"/>
      <c r="J37" s="1036"/>
    </row>
    <row r="38" spans="1:10" s="467" customFormat="1" x14ac:dyDescent="0.35">
      <c r="A38" s="1368"/>
      <c r="B38" s="2865" t="s">
        <v>2254</v>
      </c>
      <c r="C38" s="2866"/>
      <c r="D38" s="2867"/>
      <c r="E38" s="1041">
        <f>Input!D79</f>
        <v>84731400</v>
      </c>
      <c r="F38" s="2787">
        <f>Input!J79</f>
        <v>88497240</v>
      </c>
      <c r="G38" s="2788"/>
      <c r="H38" s="2832">
        <f t="shared" si="2"/>
        <v>-4.2553191489361701E-2</v>
      </c>
      <c r="I38" s="2833"/>
      <c r="J38" s="1036"/>
    </row>
    <row r="39" spans="1:10" s="467" customFormat="1" x14ac:dyDescent="0.35">
      <c r="A39" s="1368"/>
      <c r="B39" s="2865" t="s">
        <v>2255</v>
      </c>
      <c r="C39" s="2866"/>
      <c r="D39" s="2867"/>
      <c r="E39" s="1041">
        <f>Input!D82</f>
        <v>247519000</v>
      </c>
      <c r="F39" s="2787">
        <f>Input!M82</f>
        <v>265063000</v>
      </c>
      <c r="G39" s="2788"/>
      <c r="H39" s="2832">
        <f t="shared" si="2"/>
        <v>-6.6188038315419348E-2</v>
      </c>
      <c r="I39" s="2833"/>
      <c r="J39" s="1036"/>
    </row>
    <row r="40" spans="1:10" s="467" customFormat="1" x14ac:dyDescent="0.35">
      <c r="A40" s="1368"/>
      <c r="B40" s="2865" t="s">
        <v>2256</v>
      </c>
      <c r="C40" s="2866"/>
      <c r="D40" s="2867"/>
      <c r="E40" s="1041">
        <f>Input!D100</f>
        <v>30940000</v>
      </c>
      <c r="F40" s="2787">
        <f>Input!J100</f>
        <v>33695000</v>
      </c>
      <c r="G40" s="2788"/>
      <c r="H40" s="2832">
        <f t="shared" si="2"/>
        <v>-8.1762872829796704E-2</v>
      </c>
      <c r="I40" s="2833"/>
      <c r="J40" s="1036"/>
    </row>
    <row r="41" spans="1:10" s="458" customFormat="1" x14ac:dyDescent="0.35">
      <c r="A41" s="987"/>
      <c r="B41" s="2865" t="s">
        <v>1790</v>
      </c>
      <c r="C41" s="2866"/>
      <c r="D41" s="2867"/>
      <c r="E41" s="1041">
        <f>Input!D101</f>
        <v>0</v>
      </c>
      <c r="F41" s="2787">
        <f>Input!J81</f>
        <v>0</v>
      </c>
      <c r="G41" s="2788"/>
      <c r="H41" s="2832">
        <f t="shared" si="1"/>
        <v>0</v>
      </c>
      <c r="I41" s="2833"/>
      <c r="J41" s="1036"/>
    </row>
    <row r="42" spans="1:10" s="458" customFormat="1" x14ac:dyDescent="0.35">
      <c r="A42" s="987"/>
      <c r="B42" s="2865" t="s">
        <v>1791</v>
      </c>
      <c r="C42" s="2866"/>
      <c r="D42" s="2867"/>
      <c r="E42" s="1041">
        <f>Input!D214</f>
        <v>0</v>
      </c>
      <c r="F42" s="2787">
        <f>Input!J219</f>
        <v>15743000</v>
      </c>
      <c r="G42" s="2788"/>
      <c r="H42" s="2832">
        <f t="shared" si="1"/>
        <v>-1</v>
      </c>
      <c r="I42" s="2833"/>
      <c r="J42" s="1036"/>
    </row>
    <row r="43" spans="1:10" s="458" customFormat="1" x14ac:dyDescent="0.35">
      <c r="A43" s="987"/>
      <c r="B43" s="2272" t="s">
        <v>116</v>
      </c>
      <c r="C43" s="2776"/>
      <c r="D43" s="2273"/>
      <c r="E43" s="1034">
        <f>SUM(E31:E42)</f>
        <v>3316366778</v>
      </c>
      <c r="F43" s="2807">
        <f t="shared" ref="F43:G43" si="3">SUM(F31:F42)</f>
        <v>3415029601</v>
      </c>
      <c r="G43" s="2808">
        <f t="shared" si="3"/>
        <v>0</v>
      </c>
      <c r="H43" s="2805">
        <f t="shared" si="1"/>
        <v>-2.8890766560591228E-2</v>
      </c>
      <c r="I43" s="2806"/>
      <c r="J43" s="1036"/>
    </row>
    <row r="44" spans="1:10" s="458" customFormat="1" x14ac:dyDescent="0.35">
      <c r="A44" s="987"/>
      <c r="B44" s="1024"/>
      <c r="C44" s="1024"/>
      <c r="D44" s="1024"/>
      <c r="E44" s="1024"/>
      <c r="F44" s="1024"/>
      <c r="G44" s="1024"/>
      <c r="H44" s="1024"/>
      <c r="I44" s="1024"/>
      <c r="J44" s="817"/>
    </row>
    <row r="45" spans="1:10" s="458" customFormat="1" x14ac:dyDescent="0.3">
      <c r="A45" s="2868" t="str">
        <f>"Beban Persediaan "&amp;TEXT(Input!$L$767,"Rp#.##0")</f>
        <v>Beban Persediaan Rp45.186.900</v>
      </c>
      <c r="B45" s="1022" t="s">
        <v>1794</v>
      </c>
      <c r="C45" s="995"/>
      <c r="D45" s="995"/>
      <c r="E45" s="1037"/>
      <c r="F45" s="995"/>
      <c r="G45" s="995"/>
      <c r="H45" s="995"/>
      <c r="I45" s="995"/>
      <c r="J45" s="817"/>
    </row>
    <row r="46" spans="1:10" s="458" customFormat="1" ht="11.25" hidden="1" customHeight="1" x14ac:dyDescent="0.3">
      <c r="A46" s="2868"/>
      <c r="B46" s="1024"/>
      <c r="C46" s="990"/>
      <c r="D46" s="990"/>
      <c r="E46" s="990"/>
      <c r="F46" s="990"/>
      <c r="G46" s="990"/>
      <c r="H46" s="990"/>
      <c r="I46" s="990"/>
      <c r="J46" s="817"/>
    </row>
    <row r="47" spans="1:10" s="458" customFormat="1" x14ac:dyDescent="0.35">
      <c r="A47" s="2868"/>
      <c r="B47" s="2244" t="str">
        <f>"Jumlah Beban Persediaan pada "&amp;Input!$M$24&amp;" dan "&amp;Input!$M$25&amp;" adalah sebesar "&amp;TEXT(Input!$L$767,"Rp#.##0")&amp;" dan "&amp;TEXT(Input!$M$767,"Rp#.##0")&amp;". Beban Persediaan merupakan beban untuk mencatat konsumsi atas barang-barang  yang habis pakai, termasuk barang-barang hasil produksi baik yang dipasarkan maupun tidak dipasarkan. "&amp;"Rincian Beban Persediaan per "&amp;Input!$M$24&amp;" dan "&amp;Input!$M$25&amp;" adalah sebagai berikut:"</f>
        <v>Jumlah Beban Persediaan pada 31 Desember 2019 dan 31 Desember 2018 adalah sebesar Rp45.186.900 dan Rp37.104.560. Beban Persediaan merupakan beban untuk mencatat konsumsi atas barang-barang  yang habis pakai, termasuk barang-barang hasil produksi baik yang dipasarkan maupun tidak dipasarkan. Rincian Beban Persediaan per 31 Desember 2019 dan 31 Desember 2018 adalah sebagai berikut:</v>
      </c>
      <c r="C47" s="2244"/>
      <c r="D47" s="2244"/>
      <c r="E47" s="2244"/>
      <c r="F47" s="2244"/>
      <c r="G47" s="2244"/>
      <c r="H47" s="2244"/>
      <c r="I47" s="2244"/>
      <c r="J47" s="817"/>
    </row>
    <row r="48" spans="1:10" s="458" customFormat="1" x14ac:dyDescent="0.35">
      <c r="A48" s="2868"/>
      <c r="B48" s="2244"/>
      <c r="C48" s="2244"/>
      <c r="D48" s="2244"/>
      <c r="E48" s="2244"/>
      <c r="F48" s="2244"/>
      <c r="G48" s="2244"/>
      <c r="H48" s="2244"/>
      <c r="I48" s="2244"/>
      <c r="J48" s="817"/>
    </row>
    <row r="49" spans="1:10" s="458" customFormat="1" x14ac:dyDescent="0.35">
      <c r="A49" s="2868"/>
      <c r="B49" s="2244"/>
      <c r="C49" s="2244"/>
      <c r="D49" s="2244"/>
      <c r="E49" s="2244"/>
      <c r="F49" s="2244"/>
      <c r="G49" s="2244"/>
      <c r="H49" s="2244"/>
      <c r="I49" s="2244"/>
      <c r="J49" s="817"/>
    </row>
    <row r="50" spans="1:10" s="458" customFormat="1" x14ac:dyDescent="0.35">
      <c r="A50" s="2868"/>
      <c r="B50" s="2244"/>
      <c r="C50" s="2244"/>
      <c r="D50" s="2244"/>
      <c r="E50" s="2244"/>
      <c r="F50" s="2244"/>
      <c r="G50" s="2244"/>
      <c r="H50" s="2244"/>
      <c r="I50" s="2244"/>
      <c r="J50" s="817"/>
    </row>
    <row r="51" spans="1:10" s="458" customFormat="1" ht="10.5" customHeight="1" x14ac:dyDescent="0.35">
      <c r="A51" s="2868"/>
      <c r="B51" s="847"/>
      <c r="C51" s="847"/>
      <c r="D51" s="847"/>
      <c r="E51" s="847"/>
      <c r="F51" s="847"/>
      <c r="G51" s="847"/>
      <c r="H51" s="847"/>
      <c r="I51" s="847"/>
      <c r="J51" s="817"/>
    </row>
    <row r="52" spans="1:10" s="458" customFormat="1" x14ac:dyDescent="0.35">
      <c r="A52" s="2868"/>
      <c r="B52" s="2825" t="str">
        <f>"Rincian Beban Persediaan "&amp;Input!$M$24&amp;" dan "&amp;Input!$M$25</f>
        <v>Rincian Beban Persediaan 31 Desember 2019 dan 31 Desember 2018</v>
      </c>
      <c r="C52" s="2825"/>
      <c r="D52" s="2825"/>
      <c r="E52" s="2825"/>
      <c r="F52" s="2825"/>
      <c r="G52" s="2825"/>
      <c r="H52" s="2825"/>
      <c r="I52" s="2825"/>
      <c r="J52" s="817"/>
    </row>
    <row r="53" spans="1:10" s="458" customFormat="1" ht="45.75" customHeight="1" x14ac:dyDescent="0.35">
      <c r="A53" s="987"/>
      <c r="B53" s="2510" t="s">
        <v>1810</v>
      </c>
      <c r="C53" s="2578"/>
      <c r="D53" s="2511"/>
      <c r="E53" s="934" t="str">
        <f>Input!$M$24</f>
        <v>31 Desember 2019</v>
      </c>
      <c r="F53" s="2540" t="str">
        <f>Input!$M$25</f>
        <v>31 Desember 2018</v>
      </c>
      <c r="G53" s="2541"/>
      <c r="H53" s="2609" t="s">
        <v>1785</v>
      </c>
      <c r="I53" s="2611"/>
      <c r="J53" s="809"/>
    </row>
    <row r="54" spans="1:10" s="458" customFormat="1" x14ac:dyDescent="0.35">
      <c r="A54" s="987"/>
      <c r="B54" s="2865" t="s">
        <v>1792</v>
      </c>
      <c r="C54" s="2866"/>
      <c r="D54" s="2867"/>
      <c r="E54" s="1041">
        <f>Input!L767</f>
        <v>45186900</v>
      </c>
      <c r="F54" s="2851">
        <f>Input!M767</f>
        <v>37104560</v>
      </c>
      <c r="G54" s="2852"/>
      <c r="H54" s="2832">
        <f t="shared" ref="H54:H57" si="4">IF(ISERROR((E54-F54)/F54),0,((E54-F54)/F54))</f>
        <v>0.21782605695903684</v>
      </c>
      <c r="I54" s="2833"/>
      <c r="J54" s="809"/>
    </row>
    <row r="55" spans="1:10" s="458" customFormat="1" x14ac:dyDescent="0.35">
      <c r="A55" s="987"/>
      <c r="B55" s="2865" t="s">
        <v>2063</v>
      </c>
      <c r="C55" s="2866"/>
      <c r="D55" s="2867"/>
      <c r="E55" s="1041">
        <v>0</v>
      </c>
      <c r="F55" s="2851">
        <v>0</v>
      </c>
      <c r="G55" s="2852"/>
      <c r="H55" s="2832">
        <f t="shared" si="4"/>
        <v>0</v>
      </c>
      <c r="I55" s="2833"/>
      <c r="J55" s="809"/>
    </row>
    <row r="56" spans="1:10" s="458" customFormat="1" x14ac:dyDescent="0.35">
      <c r="A56" s="987"/>
      <c r="B56" s="2865" t="s">
        <v>1793</v>
      </c>
      <c r="C56" s="2866"/>
      <c r="D56" s="2867"/>
      <c r="E56" s="1041">
        <v>0</v>
      </c>
      <c r="F56" s="2851">
        <v>0</v>
      </c>
      <c r="G56" s="2852"/>
      <c r="H56" s="2832">
        <f t="shared" si="4"/>
        <v>0</v>
      </c>
      <c r="I56" s="2833"/>
      <c r="J56" s="809"/>
    </row>
    <row r="57" spans="1:10" s="458" customFormat="1" x14ac:dyDescent="0.35">
      <c r="A57" s="987"/>
      <c r="B57" s="2272" t="s">
        <v>2169</v>
      </c>
      <c r="C57" s="2776"/>
      <c r="D57" s="2273"/>
      <c r="E57" s="975">
        <f>SUM(E54:E56)</f>
        <v>45186900</v>
      </c>
      <c r="F57" s="2855">
        <f>SUM(F54:G56)</f>
        <v>37104560</v>
      </c>
      <c r="G57" s="2856"/>
      <c r="H57" s="2805">
        <f t="shared" si="4"/>
        <v>0.21782605695903684</v>
      </c>
      <c r="I57" s="2806"/>
      <c r="J57" s="809"/>
    </row>
    <row r="58" spans="1:10" s="458" customFormat="1" ht="6.75" customHeight="1" x14ac:dyDescent="0.35">
      <c r="A58" s="987"/>
      <c r="B58" s="1024"/>
      <c r="C58" s="1024"/>
      <c r="D58" s="1024"/>
      <c r="E58" s="1024"/>
      <c r="F58" s="1024"/>
      <c r="G58" s="1024"/>
      <c r="H58" s="1024"/>
      <c r="I58" s="1024"/>
      <c r="J58" s="817"/>
    </row>
    <row r="59" spans="1:10" s="458" customFormat="1" x14ac:dyDescent="0.3">
      <c r="A59" s="2868" t="str">
        <f>"Beban Barang dan Jasa "&amp;TEXT(Input!$L$768,"Rp#.##0")</f>
        <v>Beban Barang dan Jasa Rp2.632.684.595</v>
      </c>
      <c r="B59" s="1022" t="s">
        <v>2007</v>
      </c>
      <c r="C59" s="995"/>
      <c r="D59" s="995"/>
      <c r="E59" s="995"/>
      <c r="F59" s="995"/>
      <c r="G59" s="995"/>
      <c r="H59" s="995"/>
      <c r="I59" s="995"/>
      <c r="J59" s="817"/>
    </row>
    <row r="60" spans="1:10" s="458" customFormat="1" ht="9.75" hidden="1" customHeight="1" x14ac:dyDescent="0.3">
      <c r="A60" s="2868"/>
      <c r="B60" s="1024"/>
      <c r="C60" s="990"/>
      <c r="D60" s="990"/>
      <c r="E60" s="990"/>
      <c r="F60" s="990"/>
      <c r="G60" s="990"/>
      <c r="H60" s="990"/>
      <c r="I60" s="990"/>
      <c r="J60" s="817"/>
    </row>
    <row r="61" spans="1:10" s="458" customFormat="1" x14ac:dyDescent="0.35">
      <c r="A61" s="2868"/>
      <c r="B61" s="2244" t="str">
        <f>"Jumlah Beban Barang dan Jasa pada "&amp;Input!$M$24&amp;" dan "&amp;Input!$M$25&amp;" adalah sebesar "&amp;TEXT(Input!$L$768,"Rp#.##0")&amp;" dan "&amp;TEXT(Input!$M$768,"Rp#.##0")&amp;". Beban Barang dan Jasa terdiri dari beban barang dan jasa berupa konsumsi atas barang dan/jasa dalam rangka penyelenggaraan kegiatan entitas "&amp;" serta beban lain-lain berupa beban yang timbul karena penggunaan alokasi belanja modal yang tidak menghasilkan aset tetap. Penurunan Beban Barang dan Jasa terjadi karena adanya anggaran yang diblokir di tahun anggaran 2018. "&amp;"Rincian Beban Barang dan Jasa per "&amp;Input!$M$24&amp;" dan "&amp;Input!$M$25&amp;" adalah sebagai berikut:"</f>
        <v>Jumlah Beban Barang dan Jasa pada 31 Desember 2019 dan 31 Desember 2018 adalah sebesar Rp2.632.684.595 dan Rp2.935.678.600. Beban Barang dan Jasa terdiri dari beban barang dan jasa berupa konsumsi atas barang dan/jasa dalam rangka penyelenggaraan kegiatan entitas  serta beban lain-lain berupa beban yang timbul karena penggunaan alokasi belanja modal yang tidak menghasilkan aset tetap. Penurunan Beban Barang dan Jasa terjadi karena adanya anggaran yang diblokir di tahun anggaran 2018. Rincian Beban Barang dan Jasa per 31 Desember 2019 dan 31 Desember 2018 adalah sebagai berikut:</v>
      </c>
      <c r="C61" s="2244"/>
      <c r="D61" s="2244"/>
      <c r="E61" s="2244"/>
      <c r="F61" s="2244"/>
      <c r="G61" s="2244"/>
      <c r="H61" s="2244"/>
      <c r="I61" s="2244"/>
      <c r="J61" s="817"/>
    </row>
    <row r="62" spans="1:10" s="458" customFormat="1" x14ac:dyDescent="0.35">
      <c r="A62" s="2868"/>
      <c r="B62" s="2244"/>
      <c r="C62" s="2244"/>
      <c r="D62" s="2244"/>
      <c r="E62" s="2244"/>
      <c r="F62" s="2244"/>
      <c r="G62" s="2244"/>
      <c r="H62" s="2244"/>
      <c r="I62" s="2244"/>
      <c r="J62" s="817"/>
    </row>
    <row r="63" spans="1:10" s="467" customFormat="1" x14ac:dyDescent="0.35">
      <c r="A63" s="1060"/>
      <c r="B63" s="2244"/>
      <c r="C63" s="2244"/>
      <c r="D63" s="2244"/>
      <c r="E63" s="2244"/>
      <c r="F63" s="2244"/>
      <c r="G63" s="2244"/>
      <c r="H63" s="2244"/>
      <c r="I63" s="2244"/>
      <c r="J63" s="817"/>
    </row>
    <row r="64" spans="1:10" s="467" customFormat="1" x14ac:dyDescent="0.35">
      <c r="A64" s="1305"/>
      <c r="B64" s="2244"/>
      <c r="C64" s="2244"/>
      <c r="D64" s="2244"/>
      <c r="E64" s="2244"/>
      <c r="F64" s="2244"/>
      <c r="G64" s="2244"/>
      <c r="H64" s="2244"/>
      <c r="I64" s="2244"/>
      <c r="J64" s="817"/>
    </row>
    <row r="65" spans="1:10" s="458" customFormat="1" ht="45.75" customHeight="1" x14ac:dyDescent="0.35">
      <c r="A65" s="965"/>
      <c r="B65" s="2244"/>
      <c r="C65" s="2244"/>
      <c r="D65" s="2244"/>
      <c r="E65" s="2244"/>
      <c r="F65" s="2244"/>
      <c r="G65" s="2244"/>
      <c r="H65" s="2244"/>
      <c r="I65" s="2244"/>
      <c r="J65" s="817"/>
    </row>
    <row r="66" spans="1:10" s="467" customFormat="1" ht="9" customHeight="1" x14ac:dyDescent="0.35">
      <c r="A66" s="965"/>
      <c r="B66" s="847"/>
      <c r="C66" s="847"/>
      <c r="D66" s="847"/>
      <c r="E66" s="847"/>
      <c r="F66" s="847"/>
      <c r="G66" s="847"/>
      <c r="H66" s="847"/>
      <c r="I66" s="847"/>
      <c r="J66" s="817"/>
    </row>
    <row r="67" spans="1:10" s="467" customFormat="1" x14ac:dyDescent="0.35">
      <c r="A67" s="965"/>
      <c r="B67" s="2825" t="str">
        <f>"Rincian Beban Barang dan Jasa "&amp;Input!$M$24&amp;" dan "&amp;Input!$M$25&amp;" "</f>
        <v xml:space="preserve">Rincian Beban Barang dan Jasa 31 Desember 2019 dan 31 Desember 2018 </v>
      </c>
      <c r="C67" s="2825"/>
      <c r="D67" s="2825"/>
      <c r="E67" s="2825"/>
      <c r="F67" s="2825"/>
      <c r="G67" s="2825"/>
      <c r="H67" s="2825"/>
      <c r="I67" s="2825"/>
      <c r="J67" s="817"/>
    </row>
    <row r="68" spans="1:10" s="467" customFormat="1" ht="42" customHeight="1" x14ac:dyDescent="0.35">
      <c r="A68" s="987"/>
      <c r="B68" s="981" t="s">
        <v>133</v>
      </c>
      <c r="C68" s="2510" t="s">
        <v>1810</v>
      </c>
      <c r="D68" s="2511"/>
      <c r="E68" s="934" t="str">
        <f>Input!$M$24</f>
        <v>31 Desember 2019</v>
      </c>
      <c r="F68" s="2540" t="str">
        <f>Input!$M$25</f>
        <v>31 Desember 2018</v>
      </c>
      <c r="G68" s="2541"/>
      <c r="H68" s="2609" t="s">
        <v>1785</v>
      </c>
      <c r="I68" s="2611"/>
      <c r="J68" s="809"/>
    </row>
    <row r="69" spans="1:10" s="467" customFormat="1" x14ac:dyDescent="0.35">
      <c r="A69" s="1260"/>
      <c r="B69" s="919">
        <v>1</v>
      </c>
      <c r="C69" s="2759" t="s">
        <v>2073</v>
      </c>
      <c r="D69" s="2760"/>
      <c r="E69" s="1041">
        <f>Input!H226</f>
        <v>498112695</v>
      </c>
      <c r="F69" s="2853">
        <f>Input!M226</f>
        <v>415991600</v>
      </c>
      <c r="G69" s="2854"/>
      <c r="H69" s="2832">
        <f t="shared" ref="H69:H87" si="5">IF(ISERROR((E69-F69)/F69),0,((E69-F69)/F69))</f>
        <v>0.19741046453822625</v>
      </c>
      <c r="I69" s="2833"/>
      <c r="J69" s="809"/>
    </row>
    <row r="70" spans="1:10" s="467" customFormat="1" x14ac:dyDescent="0.35">
      <c r="A70" s="1259"/>
      <c r="B70" s="919">
        <f>B69+1</f>
        <v>2</v>
      </c>
      <c r="C70" s="2759" t="s">
        <v>2074</v>
      </c>
      <c r="D70" s="2760"/>
      <c r="E70" s="1041">
        <v>0</v>
      </c>
      <c r="F70" s="1471">
        <v>0</v>
      </c>
      <c r="G70" s="1472">
        <v>0</v>
      </c>
      <c r="H70" s="2832">
        <f t="shared" si="5"/>
        <v>0</v>
      </c>
      <c r="I70" s="2833"/>
      <c r="J70" s="809"/>
    </row>
    <row r="71" spans="1:10" s="467" customFormat="1" x14ac:dyDescent="0.35">
      <c r="A71" s="1302"/>
      <c r="B71" s="919">
        <f>B70+1</f>
        <v>3</v>
      </c>
      <c r="C71" s="1303" t="s">
        <v>2128</v>
      </c>
      <c r="D71" s="1304"/>
      <c r="E71" s="1041">
        <f>Input!H229</f>
        <v>5107000</v>
      </c>
      <c r="F71" s="2853">
        <f>Input!M229</f>
        <v>3690700</v>
      </c>
      <c r="G71" s="2854"/>
      <c r="H71" s="2832">
        <f>IF(ISERROR((E71-F71)/F71),0,((E71-F71)/F71))</f>
        <v>0.38374834042322592</v>
      </c>
      <c r="I71" s="2833"/>
      <c r="J71" s="809"/>
    </row>
    <row r="72" spans="1:10" s="467" customFormat="1" x14ac:dyDescent="0.35">
      <c r="A72" s="1308"/>
      <c r="B72" s="919">
        <f>B71+1</f>
        <v>4</v>
      </c>
      <c r="C72" s="1309" t="s">
        <v>2070</v>
      </c>
      <c r="D72" s="1310"/>
      <c r="E72" s="1041">
        <f>Input!H230</f>
        <v>155120000</v>
      </c>
      <c r="F72" s="2853">
        <f>Input!M230</f>
        <v>155680000</v>
      </c>
      <c r="G72" s="2854"/>
      <c r="H72" s="2832">
        <f t="shared" si="5"/>
        <v>-3.5971223021582736E-3</v>
      </c>
      <c r="I72" s="2833"/>
      <c r="J72" s="809"/>
    </row>
    <row r="73" spans="1:10" s="467" customFormat="1" x14ac:dyDescent="0.35">
      <c r="A73" s="1260"/>
      <c r="B73" s="919">
        <f>B72+1</f>
        <v>5</v>
      </c>
      <c r="C73" s="2759" t="s">
        <v>2345</v>
      </c>
      <c r="D73" s="2760"/>
      <c r="E73" s="1041">
        <f>Input!H239</f>
        <v>460450300</v>
      </c>
      <c r="F73" s="2853">
        <f>Input!M239</f>
        <v>550305000</v>
      </c>
      <c r="G73" s="2854"/>
      <c r="H73" s="2832">
        <f>IF(ISERROR((E73-F83)/F83),0,((E73-F83)/F83))</f>
        <v>9.529632509318759</v>
      </c>
      <c r="I73" s="2833"/>
      <c r="J73" s="809"/>
    </row>
    <row r="74" spans="1:10" s="467" customFormat="1" x14ac:dyDescent="0.35">
      <c r="A74" s="1259"/>
      <c r="B74" s="919">
        <f t="shared" ref="B74:B75" si="6">B73+1</f>
        <v>6</v>
      </c>
      <c r="C74" s="2759" t="s">
        <v>2071</v>
      </c>
      <c r="D74" s="2760"/>
      <c r="E74" s="1041">
        <f>Input!H241</f>
        <v>13340000</v>
      </c>
      <c r="F74" s="2853">
        <f>Input!M241</f>
        <v>6670000</v>
      </c>
      <c r="G74" s="2854"/>
      <c r="H74" s="2832">
        <f>IF(ISERROR((E74-F73)/F73),0,((E74-F73)/F73))</f>
        <v>-0.97575889733874854</v>
      </c>
      <c r="I74" s="2833"/>
      <c r="J74" s="809"/>
    </row>
    <row r="75" spans="1:10" s="467" customFormat="1" x14ac:dyDescent="0.35">
      <c r="A75" s="1259"/>
      <c r="B75" s="919">
        <f t="shared" si="6"/>
        <v>7</v>
      </c>
      <c r="C75" s="2759" t="s">
        <v>2072</v>
      </c>
      <c r="D75" s="2760"/>
      <c r="E75" s="1041">
        <f>Input!H246</f>
        <v>698525000</v>
      </c>
      <c r="F75" s="2853">
        <f>Input!M246</f>
        <v>1067650000</v>
      </c>
      <c r="G75" s="2854"/>
      <c r="H75" s="2832">
        <f>IF(ISERROR((E75-F74)/F74),0,((E75-F74)/F74))</f>
        <v>103.72638680659671</v>
      </c>
      <c r="I75" s="2833"/>
      <c r="J75" s="809"/>
    </row>
    <row r="76" spans="1:10" s="467" customFormat="1" x14ac:dyDescent="0.35">
      <c r="A76" s="987"/>
      <c r="B76" s="919">
        <f t="shared" ref="B76:B86" si="7">B75+1</f>
        <v>8</v>
      </c>
      <c r="C76" s="2759" t="s">
        <v>2068</v>
      </c>
      <c r="D76" s="2760"/>
      <c r="E76" s="1041">
        <f>Input!D306</f>
        <v>75638600</v>
      </c>
      <c r="F76" s="2853">
        <f>Input!M306</f>
        <v>70427100</v>
      </c>
      <c r="G76" s="2854"/>
      <c r="H76" s="2832">
        <f>IF(ISERROR((E76-F75)/F75),0,((E76-F75)/F75))</f>
        <v>-0.92915412354235938</v>
      </c>
      <c r="I76" s="2833"/>
      <c r="J76" s="809"/>
    </row>
    <row r="77" spans="1:10" s="467" customFormat="1" x14ac:dyDescent="0.35">
      <c r="A77" s="939"/>
      <c r="B77" s="919">
        <f t="shared" si="7"/>
        <v>9</v>
      </c>
      <c r="C77" s="2759" t="s">
        <v>2069</v>
      </c>
      <c r="D77" s="2760"/>
      <c r="E77" s="1041">
        <f>Input!D307</f>
        <v>39923600</v>
      </c>
      <c r="F77" s="2853">
        <f>Input!M307</f>
        <v>52267100</v>
      </c>
      <c r="G77" s="2854"/>
      <c r="H77" s="2832">
        <f>IF(ISERROR((E77-F76)/F76),0,((E77-F76)/F76))</f>
        <v>-0.43312162505626384</v>
      </c>
      <c r="I77" s="2833"/>
      <c r="J77" s="809"/>
    </row>
    <row r="78" spans="1:10" s="467" customFormat="1" x14ac:dyDescent="0.35">
      <c r="A78" s="939"/>
      <c r="B78" s="919">
        <f t="shared" si="7"/>
        <v>10</v>
      </c>
      <c r="C78" s="2759" t="s">
        <v>2328</v>
      </c>
      <c r="D78" s="2760"/>
      <c r="E78" s="1041">
        <f>Input!D308</f>
        <v>152400</v>
      </c>
      <c r="F78" s="2853">
        <f>Input!M308</f>
        <v>174100</v>
      </c>
      <c r="G78" s="2854"/>
      <c r="H78" s="2832">
        <f>IF(ISERROR((E78-F77)/F77),0,((E78-F77)/F77))</f>
        <v>-0.99708420784776652</v>
      </c>
      <c r="I78" s="2833"/>
      <c r="J78" s="809"/>
    </row>
    <row r="79" spans="1:10" s="467" customFormat="1" x14ac:dyDescent="0.35">
      <c r="A79" s="1315"/>
      <c r="B79" s="919">
        <f t="shared" si="7"/>
        <v>11</v>
      </c>
      <c r="C79" s="1316" t="s">
        <v>2134</v>
      </c>
      <c r="D79" s="1317"/>
      <c r="E79" s="1041">
        <v>0</v>
      </c>
      <c r="F79" s="1471">
        <v>0</v>
      </c>
      <c r="G79" s="1472">
        <v>0</v>
      </c>
      <c r="H79" s="2832">
        <f t="shared" ref="H79" si="8">IF(ISERROR((E79-F79)/F79),0,((E79-F79)/F79))</f>
        <v>0</v>
      </c>
      <c r="I79" s="2833"/>
      <c r="J79" s="809"/>
    </row>
    <row r="80" spans="1:10" s="458" customFormat="1" x14ac:dyDescent="0.35">
      <c r="A80" s="939"/>
      <c r="B80" s="919">
        <f t="shared" si="7"/>
        <v>12</v>
      </c>
      <c r="C80" s="1257" t="s">
        <v>2062</v>
      </c>
      <c r="D80" s="1258"/>
      <c r="E80" s="1041">
        <f>Input!H314</f>
        <v>53345000</v>
      </c>
      <c r="F80" s="2853">
        <f>Input!M314</f>
        <v>116094000</v>
      </c>
      <c r="G80" s="2854"/>
      <c r="H80" s="2832">
        <f t="shared" si="5"/>
        <v>-0.54050166244594899</v>
      </c>
      <c r="I80" s="2833"/>
      <c r="J80" s="809"/>
    </row>
    <row r="81" spans="1:10" s="458" customFormat="1" x14ac:dyDescent="0.35">
      <c r="A81" s="939"/>
      <c r="B81" s="919">
        <f t="shared" si="7"/>
        <v>13</v>
      </c>
      <c r="C81" s="1257" t="s">
        <v>1795</v>
      </c>
      <c r="D81" s="1258"/>
      <c r="E81" s="1041">
        <f>Input!H315</f>
        <v>141600000</v>
      </c>
      <c r="F81" s="2853">
        <f>Input!M315</f>
        <v>157500000</v>
      </c>
      <c r="G81" s="2854"/>
      <c r="H81" s="2832">
        <f t="shared" si="5"/>
        <v>-0.10095238095238095</v>
      </c>
      <c r="I81" s="2833"/>
      <c r="J81" s="809"/>
    </row>
    <row r="82" spans="1:10" s="467" customFormat="1" x14ac:dyDescent="0.35">
      <c r="A82" s="1259"/>
      <c r="B82" s="919">
        <f t="shared" si="7"/>
        <v>14</v>
      </c>
      <c r="C82" s="1261" t="s">
        <v>1796</v>
      </c>
      <c r="D82" s="1262"/>
      <c r="E82" s="1041">
        <f>Input!H316</f>
        <v>472000000</v>
      </c>
      <c r="F82" s="2853">
        <f>Input!M316</f>
        <v>295500000</v>
      </c>
      <c r="G82" s="2854"/>
      <c r="H82" s="2832">
        <f t="shared" si="5"/>
        <v>0.59729272419627755</v>
      </c>
      <c r="I82" s="2833"/>
      <c r="J82" s="809"/>
    </row>
    <row r="83" spans="1:10" s="467" customFormat="1" x14ac:dyDescent="0.35">
      <c r="A83" s="1458"/>
      <c r="B83" s="919">
        <f t="shared" si="7"/>
        <v>15</v>
      </c>
      <c r="C83" s="1459" t="s">
        <v>2375</v>
      </c>
      <c r="D83" s="1460"/>
      <c r="E83" s="1041">
        <f>Input!D232</f>
        <v>19370000</v>
      </c>
      <c r="F83" s="2853">
        <f>Input!M232</f>
        <v>43729000</v>
      </c>
      <c r="G83" s="2854"/>
      <c r="H83" s="1461"/>
      <c r="I83" s="1462"/>
      <c r="J83" s="809"/>
    </row>
    <row r="84" spans="1:10" s="467" customFormat="1" x14ac:dyDescent="0.35">
      <c r="A84" s="1345"/>
      <c r="B84" s="919">
        <f t="shared" si="7"/>
        <v>16</v>
      </c>
      <c r="C84" s="1343" t="s">
        <v>2218</v>
      </c>
      <c r="D84" s="1344"/>
      <c r="E84" s="1041"/>
      <c r="F84" s="1471">
        <v>0</v>
      </c>
      <c r="G84" s="1472"/>
      <c r="H84" s="2832">
        <f t="shared" ref="H84:H86" si="9">IF(ISERROR((E84-F84)/F84),0,((E84-F84)/F84))</f>
        <v>0</v>
      </c>
      <c r="I84" s="2833"/>
      <c r="J84" s="809"/>
    </row>
    <row r="85" spans="1:10" s="467" customFormat="1" x14ac:dyDescent="0.35">
      <c r="A85" s="1345"/>
      <c r="B85" s="919">
        <f t="shared" si="7"/>
        <v>17</v>
      </c>
      <c r="C85" s="1343" t="s">
        <v>2219</v>
      </c>
      <c r="D85" s="1344"/>
      <c r="E85" s="1041">
        <v>0</v>
      </c>
      <c r="F85" s="1471">
        <v>0</v>
      </c>
      <c r="G85" s="1472"/>
      <c r="H85" s="2832">
        <f t="shared" si="9"/>
        <v>0</v>
      </c>
      <c r="I85" s="2833"/>
      <c r="J85" s="809"/>
    </row>
    <row r="86" spans="1:10" s="467" customFormat="1" x14ac:dyDescent="0.35">
      <c r="A86" s="1345"/>
      <c r="B86" s="919">
        <f t="shared" si="7"/>
        <v>18</v>
      </c>
      <c r="C86" s="1343" t="s">
        <v>2220</v>
      </c>
      <c r="D86" s="1344"/>
      <c r="E86" s="1041">
        <v>0</v>
      </c>
      <c r="F86" s="1469">
        <v>0</v>
      </c>
      <c r="G86" s="1470"/>
      <c r="H86" s="2832">
        <f t="shared" si="9"/>
        <v>0</v>
      </c>
      <c r="I86" s="2833"/>
      <c r="J86" s="809"/>
    </row>
    <row r="87" spans="1:10" s="458" customFormat="1" x14ac:dyDescent="0.35">
      <c r="A87" s="939"/>
      <c r="B87" s="1040"/>
      <c r="C87" s="2272" t="s">
        <v>116</v>
      </c>
      <c r="D87" s="2273"/>
      <c r="E87" s="1034">
        <f>SUM(E69:E85)</f>
        <v>2632684595</v>
      </c>
      <c r="F87" s="2807">
        <f>SUM(F69:F86)</f>
        <v>2935678600</v>
      </c>
      <c r="G87" s="2808"/>
      <c r="H87" s="2863">
        <f t="shared" si="5"/>
        <v>-0.10321089134212444</v>
      </c>
      <c r="I87" s="2864"/>
      <c r="J87" s="809"/>
    </row>
    <row r="88" spans="1:10" s="458" customFormat="1" x14ac:dyDescent="0.35">
      <c r="A88" s="939"/>
      <c r="B88" s="720"/>
      <c r="C88" s="720"/>
      <c r="D88" s="720"/>
      <c r="E88" s="1180"/>
      <c r="F88" s="720"/>
      <c r="G88" s="720"/>
      <c r="H88" s="720"/>
      <c r="I88" s="720"/>
      <c r="J88" s="809"/>
    </row>
    <row r="89" spans="1:10" s="458" customFormat="1" x14ac:dyDescent="0.3">
      <c r="A89" s="2508" t="str">
        <f>"Beban Pemeliharaan "&amp;TEXT(Input!$W$230,"Rp#.##0")</f>
        <v>Beban Pemeliharaan Rp625.913.650</v>
      </c>
      <c r="B89" s="902" t="s">
        <v>1797</v>
      </c>
      <c r="C89" s="738"/>
      <c r="D89" s="738"/>
      <c r="E89" s="738"/>
      <c r="F89" s="738"/>
      <c r="G89" s="738"/>
      <c r="H89" s="738"/>
      <c r="I89" s="738"/>
      <c r="J89" s="809"/>
    </row>
    <row r="90" spans="1:10" s="458" customFormat="1" ht="9.75" hidden="1" customHeight="1" x14ac:dyDescent="0.3">
      <c r="A90" s="2508"/>
      <c r="B90" s="720"/>
      <c r="C90" s="904"/>
      <c r="D90" s="904"/>
      <c r="E90" s="904"/>
      <c r="F90" s="904"/>
      <c r="G90" s="904"/>
      <c r="H90" s="904"/>
      <c r="I90" s="904"/>
      <c r="J90" s="809"/>
    </row>
    <row r="91" spans="1:10" s="467" customFormat="1" ht="15.75" customHeight="1" x14ac:dyDescent="0.35">
      <c r="A91" s="2508"/>
      <c r="B91" s="2192" t="str">
        <f>"Jumlah Beban Pemeliharaan "&amp;Input!$M$24&amp;" dan "&amp;Input!$M$25&amp;" adalah masing-masing sebesar  "&amp;TEXT(Input!$W$230,"Rp#.##0")&amp;" dan  "&amp;TEXT(Input!$Z$230,"Rp#.##0")&amp;""</f>
        <v>Jumlah Beban Pemeliharaan 31 Desember 2019 dan 31 Desember 2018 adalah masing-masing sebesar  Rp625.913.650 dan  Rp722.817.400</v>
      </c>
      <c r="C91" s="2192"/>
      <c r="D91" s="2192"/>
      <c r="E91" s="2192"/>
      <c r="F91" s="2192"/>
      <c r="G91" s="2192"/>
      <c r="H91" s="2192"/>
      <c r="I91" s="2192"/>
      <c r="J91" s="809"/>
    </row>
    <row r="92" spans="1:10" s="467" customFormat="1" x14ac:dyDescent="0.35">
      <c r="A92" s="2508"/>
      <c r="B92" s="2192"/>
      <c r="C92" s="2192"/>
      <c r="D92" s="2192"/>
      <c r="E92" s="2192"/>
      <c r="F92" s="2192"/>
      <c r="G92" s="2192"/>
      <c r="H92" s="2192"/>
      <c r="I92" s="2192"/>
      <c r="J92" s="809"/>
    </row>
    <row r="93" spans="1:10" s="467" customFormat="1" x14ac:dyDescent="0.35">
      <c r="A93" s="2508"/>
      <c r="B93" s="2192"/>
      <c r="C93" s="2192"/>
      <c r="D93" s="2192"/>
      <c r="E93" s="2192"/>
      <c r="F93" s="2192"/>
      <c r="G93" s="2192"/>
      <c r="H93" s="2192"/>
      <c r="I93" s="2192"/>
      <c r="J93" s="809"/>
    </row>
    <row r="94" spans="1:10" s="467" customFormat="1" ht="17.25" customHeight="1" x14ac:dyDescent="0.35">
      <c r="A94" s="2508"/>
      <c r="B94" s="2192"/>
      <c r="C94" s="2192"/>
      <c r="D94" s="2192"/>
      <c r="E94" s="2192"/>
      <c r="F94" s="2192"/>
      <c r="G94" s="2192"/>
      <c r="H94" s="2192"/>
      <c r="I94" s="2192"/>
      <c r="J94" s="809"/>
    </row>
    <row r="95" spans="1:10" s="467" customFormat="1" ht="33" customHeight="1" x14ac:dyDescent="0.35">
      <c r="A95" s="2508"/>
      <c r="B95" s="2502" t="s">
        <v>2413</v>
      </c>
      <c r="C95" s="2502"/>
      <c r="D95" s="2502"/>
      <c r="E95" s="2502"/>
      <c r="F95" s="2502"/>
      <c r="G95" s="2502"/>
      <c r="H95" s="2502"/>
      <c r="I95" s="2502"/>
      <c r="J95" s="809"/>
    </row>
    <row r="96" spans="1:10" s="467" customFormat="1" x14ac:dyDescent="0.35">
      <c r="A96" s="2508"/>
      <c r="B96" s="2800" t="str">
        <f>"Rincian Beban Pemeliharaan "&amp;Input!$M$24&amp;" dan "&amp;Input!$M$25&amp;" "</f>
        <v xml:space="preserve">Rincian Beban Pemeliharaan 31 Desember 2019 dan 31 Desember 2018 </v>
      </c>
      <c r="C96" s="2800"/>
      <c r="D96" s="2800"/>
      <c r="E96" s="2800"/>
      <c r="F96" s="2800"/>
      <c r="G96" s="2800"/>
      <c r="H96" s="2800"/>
      <c r="I96" s="2800"/>
      <c r="J96" s="809"/>
    </row>
    <row r="97" spans="1:10" s="467" customFormat="1" ht="39.75" customHeight="1" x14ac:dyDescent="0.35">
      <c r="A97" s="939"/>
      <c r="B97" s="981" t="s">
        <v>133</v>
      </c>
      <c r="C97" s="2510" t="s">
        <v>1810</v>
      </c>
      <c r="D97" s="2511"/>
      <c r="E97" s="934" t="str">
        <f>Input!$M$24</f>
        <v>31 Desember 2019</v>
      </c>
      <c r="F97" s="2540" t="str">
        <f>Input!$M$25</f>
        <v>31 Desember 2018</v>
      </c>
      <c r="G97" s="2541"/>
      <c r="H97" s="2609" t="s">
        <v>1785</v>
      </c>
      <c r="I97" s="2611"/>
      <c r="J97" s="809"/>
    </row>
    <row r="98" spans="1:10" s="467" customFormat="1" x14ac:dyDescent="0.35">
      <c r="A98" s="939"/>
      <c r="B98" s="919">
        <v>1</v>
      </c>
      <c r="C98" s="2759" t="s">
        <v>1798</v>
      </c>
      <c r="D98" s="2760"/>
      <c r="E98" s="1041">
        <f>Input!H323</f>
        <v>321559100</v>
      </c>
      <c r="F98" s="2847">
        <f>Input!J323</f>
        <v>444005000</v>
      </c>
      <c r="G98" s="2848">
        <v>243727000</v>
      </c>
      <c r="H98" s="2832">
        <f t="shared" ref="H98:H103" si="10">IF(ISERROR((E98-F98)/F98),0,((E98-F98)/F98))</f>
        <v>-0.27577594846904879</v>
      </c>
      <c r="I98" s="2833"/>
      <c r="J98" s="809"/>
    </row>
    <row r="99" spans="1:10" s="467" customFormat="1" x14ac:dyDescent="0.35">
      <c r="A99" s="939"/>
      <c r="B99" s="919">
        <f>B98+1</f>
        <v>2</v>
      </c>
      <c r="C99" s="2759" t="s">
        <v>1799</v>
      </c>
      <c r="D99" s="2760"/>
      <c r="E99" s="1041">
        <f>Input!H326</f>
        <v>304354550</v>
      </c>
      <c r="F99" s="2847">
        <f>Input!J326</f>
        <v>278812400</v>
      </c>
      <c r="G99" s="2848">
        <v>317643107</v>
      </c>
      <c r="H99" s="2832">
        <f>IF(ISERROR((E99-F99)/F99),0,((E99-F99)/F99))</f>
        <v>9.1610523778712857E-2</v>
      </c>
      <c r="I99" s="2833"/>
      <c r="J99" s="809"/>
    </row>
    <row r="100" spans="1:10" s="467" customFormat="1" x14ac:dyDescent="0.35">
      <c r="A100" s="1256"/>
      <c r="B100" s="919">
        <v>3</v>
      </c>
      <c r="C100" s="1257" t="s">
        <v>2329</v>
      </c>
      <c r="D100" s="1258"/>
      <c r="E100" s="1041">
        <v>0</v>
      </c>
      <c r="F100" s="2849"/>
      <c r="G100" s="2850"/>
      <c r="H100" s="2832">
        <f>IF(ISERROR((E100-F100)/F100),0,((E100-F100)/F100))</f>
        <v>0</v>
      </c>
      <c r="I100" s="2833"/>
      <c r="J100" s="809"/>
    </row>
    <row r="101" spans="1:10" s="467" customFormat="1" x14ac:dyDescent="0.35">
      <c r="A101" s="939"/>
      <c r="B101" s="919">
        <v>4</v>
      </c>
      <c r="C101" s="2759" t="s">
        <v>2064</v>
      </c>
      <c r="D101" s="2760"/>
      <c r="E101" s="1041"/>
      <c r="F101" s="2847"/>
      <c r="G101" s="2848"/>
      <c r="H101" s="2832">
        <f t="shared" si="10"/>
        <v>0</v>
      </c>
      <c r="I101" s="2833"/>
      <c r="J101" s="809"/>
    </row>
    <row r="102" spans="1:10" s="467" customFormat="1" x14ac:dyDescent="0.35">
      <c r="A102" s="1412"/>
      <c r="B102" s="919">
        <v>5</v>
      </c>
      <c r="C102" s="1413" t="s">
        <v>2333</v>
      </c>
      <c r="D102" s="1414"/>
      <c r="E102" s="1041"/>
      <c r="F102" s="2849"/>
      <c r="G102" s="2850"/>
      <c r="H102" s="1415"/>
      <c r="I102" s="1416"/>
      <c r="J102" s="809"/>
    </row>
    <row r="103" spans="1:10" s="467" customFormat="1" x14ac:dyDescent="0.35">
      <c r="A103" s="939"/>
      <c r="B103" s="1040"/>
      <c r="C103" s="2272" t="s">
        <v>116</v>
      </c>
      <c r="D103" s="2273"/>
      <c r="E103" s="975">
        <f>SUM(E98:E101)</f>
        <v>625913650</v>
      </c>
      <c r="F103" s="2791">
        <f>F98+F99+F100+F101</f>
        <v>722817400</v>
      </c>
      <c r="G103" s="2792"/>
      <c r="H103" s="2805">
        <f t="shared" si="10"/>
        <v>-0.13406394201357077</v>
      </c>
      <c r="I103" s="2806"/>
      <c r="J103" s="809"/>
    </row>
    <row r="104" spans="1:10" s="467" customFormat="1" x14ac:dyDescent="0.35">
      <c r="A104" s="939"/>
      <c r="B104" s="720"/>
      <c r="C104" s="720"/>
      <c r="D104" s="720"/>
      <c r="E104" s="720"/>
      <c r="F104" s="720"/>
      <c r="G104" s="720"/>
      <c r="H104" s="720"/>
      <c r="I104" s="720"/>
      <c r="J104" s="809"/>
    </row>
    <row r="105" spans="1:10" s="467" customFormat="1" x14ac:dyDescent="0.3">
      <c r="A105" s="2508" t="str">
        <f>"Beban Perjalanan Dinas"  &amp;TEXT(Input!$D$354,"Rp#.##0")</f>
        <v>Beban Perjalanan DinasRp2.755.409.250</v>
      </c>
      <c r="B105" s="902" t="s">
        <v>1800</v>
      </c>
      <c r="C105" s="738"/>
      <c r="D105" s="738"/>
      <c r="E105" s="738"/>
      <c r="F105" s="738"/>
      <c r="G105" s="738"/>
      <c r="H105" s="738"/>
      <c r="I105" s="738"/>
      <c r="J105" s="809"/>
    </row>
    <row r="106" spans="1:10" s="467" customFormat="1" ht="9" hidden="1" customHeight="1" x14ac:dyDescent="0.3">
      <c r="A106" s="2508"/>
      <c r="B106" s="720"/>
      <c r="C106" s="904"/>
      <c r="D106" s="904"/>
      <c r="E106" s="904"/>
      <c r="F106" s="904"/>
      <c r="G106" s="904"/>
      <c r="H106" s="904"/>
      <c r="I106" s="904"/>
      <c r="J106" s="809"/>
    </row>
    <row r="107" spans="1:10" s="467" customFormat="1" ht="15.75" customHeight="1" x14ac:dyDescent="0.35">
      <c r="A107" s="2508"/>
      <c r="B107" s="2192" t="str">
        <f>"Beban Perjalanan Dinas "&amp;Input!$M$24&amp;" dan "&amp;Input!$M$25&amp;" adalah masing-masing sebesar "&amp;TEXT(Input!$L$770,"Rp#.##0")&amp;" dan "&amp;TEXT(Input!$M$770,"Rp#.##0")&amp;". Beban tersebut merupakan beban yang terjadi untuk perjalanan dinas dalam rangka pelaksanaan tugas, fungsi, dan jabatan. Penurunanbeban perjalanan dinas disebabkan oleh "&amp;" adanya penghematan perjalanan dinas  selama tahun anggaran 2019 yang memerlukan koordinasi di luar daerah. Rincian Beban Perjalanan Dinas per  "&amp;Input!$M$24&amp;" dan "&amp;Input!$M$25&amp;" adalah sebagai berikut:"</f>
        <v>Beban Perjalanan Dinas 31 Desember 2019 dan 31 Desember 2018 adalah masing-masing sebesar Rp2.755.409.250 dan Rp2.786.385.900. Beban tersebut merupakan beban yang terjadi untuk perjalanan dinas dalam rangka pelaksanaan tugas, fungsi, dan jabatan. Penurunanbeban perjalanan dinas disebabkan oleh  adanya penghematan perjalanan dinas  selama tahun anggaran 2019 yang memerlukan koordinasi di luar daerah. Rincian Beban Perjalanan Dinas per  31 Desember 2019 dan 31 Desember 2018 adalah sebagai berikut:</v>
      </c>
      <c r="C107" s="2192"/>
      <c r="D107" s="2192"/>
      <c r="E107" s="2192"/>
      <c r="F107" s="2192"/>
      <c r="G107" s="2192"/>
      <c r="H107" s="2192"/>
      <c r="I107" s="2192"/>
      <c r="J107" s="809"/>
    </row>
    <row r="108" spans="1:10" s="467" customFormat="1" x14ac:dyDescent="0.35">
      <c r="A108" s="2508"/>
      <c r="B108" s="2192"/>
      <c r="C108" s="2192"/>
      <c r="D108" s="2192"/>
      <c r="E108" s="2192"/>
      <c r="F108" s="2192"/>
      <c r="G108" s="2192"/>
      <c r="H108" s="2192"/>
      <c r="I108" s="2192"/>
      <c r="J108" s="809"/>
    </row>
    <row r="109" spans="1:10" s="467" customFormat="1" x14ac:dyDescent="0.35">
      <c r="A109" s="2508"/>
      <c r="B109" s="2192"/>
      <c r="C109" s="2192"/>
      <c r="D109" s="2192"/>
      <c r="E109" s="2192"/>
      <c r="F109" s="2192"/>
      <c r="G109" s="2192"/>
      <c r="H109" s="2192"/>
      <c r="I109" s="2192"/>
      <c r="J109" s="809"/>
    </row>
    <row r="110" spans="1:10" s="467" customFormat="1" ht="47.25" customHeight="1" x14ac:dyDescent="0.35">
      <c r="A110" s="2508"/>
      <c r="B110" s="2192"/>
      <c r="C110" s="2192"/>
      <c r="D110" s="2192"/>
      <c r="E110" s="2192"/>
      <c r="F110" s="2192"/>
      <c r="G110" s="2192"/>
      <c r="H110" s="2192"/>
      <c r="I110" s="2192"/>
      <c r="J110" s="809"/>
    </row>
    <row r="111" spans="1:10" s="467" customFormat="1" x14ac:dyDescent="0.35">
      <c r="A111" s="2508"/>
      <c r="B111" s="1417"/>
      <c r="C111" s="844"/>
      <c r="D111" s="844"/>
      <c r="E111" s="844"/>
      <c r="F111" s="844"/>
      <c r="G111" s="844"/>
      <c r="H111" s="844"/>
      <c r="I111" s="844"/>
      <c r="J111" s="809"/>
    </row>
    <row r="112" spans="1:10" s="467" customFormat="1" x14ac:dyDescent="0.35">
      <c r="A112" s="2508"/>
      <c r="B112" s="2800" t="str">
        <f>"Rincian Beban Perjalanan Dinas "&amp;Input!$M$24&amp;" dan "&amp;Input!$M$25&amp;" "</f>
        <v xml:space="preserve">Rincian Beban Perjalanan Dinas 31 Desember 2019 dan 31 Desember 2018 </v>
      </c>
      <c r="C112" s="2800"/>
      <c r="D112" s="2800"/>
      <c r="E112" s="2800"/>
      <c r="F112" s="2800"/>
      <c r="G112" s="2800"/>
      <c r="H112" s="2800"/>
      <c r="I112" s="2800"/>
      <c r="J112" s="809"/>
    </row>
    <row r="113" spans="1:10" s="467" customFormat="1" ht="45" customHeight="1" x14ac:dyDescent="0.35">
      <c r="A113" s="939"/>
      <c r="B113" s="981" t="s">
        <v>133</v>
      </c>
      <c r="C113" s="2510" t="s">
        <v>1810</v>
      </c>
      <c r="D113" s="2511"/>
      <c r="E113" s="934" t="str">
        <f>Input!$M$24</f>
        <v>31 Desember 2019</v>
      </c>
      <c r="F113" s="2540" t="str">
        <f>Input!$M$25</f>
        <v>31 Desember 2018</v>
      </c>
      <c r="G113" s="2541"/>
      <c r="H113" s="2609" t="s">
        <v>1785</v>
      </c>
      <c r="I113" s="2611"/>
      <c r="J113" s="809"/>
    </row>
    <row r="114" spans="1:10" s="467" customFormat="1" x14ac:dyDescent="0.3">
      <c r="A114" s="939"/>
      <c r="B114" s="919">
        <v>1</v>
      </c>
      <c r="C114" s="2759" t="s">
        <v>1801</v>
      </c>
      <c r="D114" s="2760"/>
      <c r="E114" s="1041">
        <f>Input!H344</f>
        <v>1789705650</v>
      </c>
      <c r="F114" s="2845">
        <f>Input!M344</f>
        <v>1638664700</v>
      </c>
      <c r="G114" s="2846">
        <v>3652268754</v>
      </c>
      <c r="H114" s="2832">
        <f t="shared" ref="H114:H118" si="11">IF(ISERROR((E114-F114)/F114),0,((E114-F114)/F114))</f>
        <v>9.2173188328277283E-2</v>
      </c>
      <c r="I114" s="2833"/>
      <c r="J114" s="809"/>
    </row>
    <row r="115" spans="1:10" s="467" customFormat="1" x14ac:dyDescent="0.3">
      <c r="A115" s="939"/>
      <c r="B115" s="919">
        <f>B114+1</f>
        <v>2</v>
      </c>
      <c r="C115" s="2759" t="s">
        <v>1802</v>
      </c>
      <c r="D115" s="2760"/>
      <c r="E115" s="1041">
        <f>Input!H346</f>
        <v>317340000</v>
      </c>
      <c r="F115" s="2845">
        <f>Input!M346</f>
        <v>217400000</v>
      </c>
      <c r="G115" s="2846">
        <v>3652268755</v>
      </c>
      <c r="H115" s="2832">
        <f t="shared" si="11"/>
        <v>0.45970561177552899</v>
      </c>
      <c r="I115" s="2833"/>
      <c r="J115" s="809"/>
    </row>
    <row r="116" spans="1:10" s="467" customFormat="1" x14ac:dyDescent="0.3">
      <c r="A116" s="939"/>
      <c r="B116" s="919">
        <f>B115+1</f>
        <v>3</v>
      </c>
      <c r="C116" s="2759" t="s">
        <v>1803</v>
      </c>
      <c r="D116" s="2760"/>
      <c r="E116" s="1041">
        <f>Input!H347</f>
        <v>900000</v>
      </c>
      <c r="F116" s="2845">
        <f>Input!M347</f>
        <v>1980000</v>
      </c>
      <c r="G116" s="2846">
        <v>3652268756</v>
      </c>
      <c r="H116" s="2832">
        <f t="shared" si="11"/>
        <v>-0.54545454545454541</v>
      </c>
      <c r="I116" s="2833"/>
      <c r="J116" s="809"/>
    </row>
    <row r="117" spans="1:10" s="467" customFormat="1" x14ac:dyDescent="0.3">
      <c r="A117" s="939"/>
      <c r="B117" s="919">
        <f>B116+1</f>
        <v>4</v>
      </c>
      <c r="C117" s="2759" t="s">
        <v>1804</v>
      </c>
      <c r="D117" s="2760"/>
      <c r="E117" s="1041">
        <f>Input!H348</f>
        <v>647463600</v>
      </c>
      <c r="F117" s="2845">
        <f>Input!M348</f>
        <v>928341200</v>
      </c>
      <c r="G117" s="2846">
        <v>3652268757</v>
      </c>
      <c r="H117" s="2832">
        <f t="shared" si="11"/>
        <v>-0.30255858514089434</v>
      </c>
      <c r="I117" s="2833"/>
      <c r="J117" s="809"/>
    </row>
    <row r="118" spans="1:10" s="467" customFormat="1" x14ac:dyDescent="0.35">
      <c r="A118" s="939"/>
      <c r="B118" s="1040"/>
      <c r="C118" s="2272" t="s">
        <v>116</v>
      </c>
      <c r="D118" s="2273"/>
      <c r="E118" s="975">
        <f>SUM(E114:E117)</f>
        <v>2755409250</v>
      </c>
      <c r="F118" s="2791">
        <f>SUM(F114:F117)</f>
        <v>2786385900</v>
      </c>
      <c r="G118" s="2792"/>
      <c r="H118" s="2805">
        <f t="shared" si="11"/>
        <v>-1.1117142819305826E-2</v>
      </c>
      <c r="I118" s="2806"/>
      <c r="J118" s="809"/>
    </row>
    <row r="119" spans="1:10" s="467" customFormat="1" x14ac:dyDescent="0.35">
      <c r="A119" s="939"/>
      <c r="B119" s="720"/>
      <c r="C119" s="720"/>
      <c r="D119" s="720"/>
      <c r="E119" s="720"/>
      <c r="F119" s="720"/>
      <c r="G119" s="720"/>
      <c r="H119" s="720"/>
      <c r="I119" s="720"/>
      <c r="J119" s="809"/>
    </row>
    <row r="120" spans="1:10" s="467" customFormat="1" x14ac:dyDescent="0.35">
      <c r="A120" s="939"/>
      <c r="B120" s="720"/>
      <c r="C120" s="720"/>
      <c r="D120" s="720"/>
      <c r="E120" s="720"/>
      <c r="F120" s="720"/>
      <c r="G120" s="720"/>
      <c r="H120" s="720"/>
      <c r="I120" s="720"/>
      <c r="J120" s="809"/>
    </row>
    <row r="121" spans="1:10" s="467" customFormat="1" x14ac:dyDescent="0.3">
      <c r="A121" s="2508" t="str">
        <f>"Beban Barang untuk Diserahkan kepada Masyarakat "  &amp;TEXT(Input!$D$381,"Rp#.##0")</f>
        <v>Beban Barang untuk Diserahkan kepada Masyarakat Rp220.000.000</v>
      </c>
      <c r="B121" s="902" t="s">
        <v>1805</v>
      </c>
      <c r="C121" s="738"/>
      <c r="D121" s="738"/>
      <c r="E121" s="738"/>
      <c r="F121" s="738"/>
      <c r="G121" s="738"/>
      <c r="H121" s="738"/>
      <c r="I121" s="738"/>
      <c r="J121" s="809"/>
    </row>
    <row r="122" spans="1:10" s="467" customFormat="1" ht="5.25" hidden="1" customHeight="1" x14ac:dyDescent="0.3">
      <c r="A122" s="2508"/>
      <c r="B122" s="720"/>
      <c r="C122" s="904"/>
      <c r="D122" s="904"/>
      <c r="E122" s="904"/>
      <c r="F122" s="904"/>
      <c r="G122" s="904"/>
      <c r="H122" s="904"/>
      <c r="I122" s="904"/>
      <c r="J122" s="809"/>
    </row>
    <row r="123" spans="1:10" s="467" customFormat="1" ht="15.75" customHeight="1" x14ac:dyDescent="0.35">
      <c r="A123" s="2508"/>
      <c r="B123" s="2192" t="str">
        <f>"Beban Barang untuk Diserahkan kepada Masyarakat "&amp;Input!$M$24&amp;" dan "&amp;Input!$M$25&amp;" adalah masing-masing sebesar "&amp;TEXT(Input!$H$381,"Rp#.##0")&amp;" dan "&amp;TEXT(Input!$M$771,"Rp#.##0")&amp;". Beban Barang untuk Diserahkan kepada Masyarakat merupakan beban pemerintah dalam bentuk barang atau jasa kepada masyarakat yang bertujuan untuk mencapai tujuan entitas."</f>
        <v>Beban Barang untuk Diserahkan kepada Masyarakat 31 Desember 2019 dan 31 Desember 2018 adalah masing-masing sebesar Rp220.000.000 dan Rp230.190.000. Beban Barang untuk Diserahkan kepada Masyarakat merupakan beban pemerintah dalam bentuk barang atau jasa kepada masyarakat yang bertujuan untuk mencapai tujuan entitas.</v>
      </c>
      <c r="C123" s="2192"/>
      <c r="D123" s="2192"/>
      <c r="E123" s="2192"/>
      <c r="F123" s="2192"/>
      <c r="G123" s="2192"/>
      <c r="H123" s="2192"/>
      <c r="I123" s="2192"/>
      <c r="J123" s="809"/>
    </row>
    <row r="124" spans="1:10" s="467" customFormat="1" x14ac:dyDescent="0.35">
      <c r="A124" s="2508"/>
      <c r="B124" s="2192"/>
      <c r="C124" s="2192"/>
      <c r="D124" s="2192"/>
      <c r="E124" s="2192"/>
      <c r="F124" s="2192"/>
      <c r="G124" s="2192"/>
      <c r="H124" s="2192"/>
      <c r="I124" s="2192"/>
      <c r="J124" s="809"/>
    </row>
    <row r="125" spans="1:10" s="467" customFormat="1" x14ac:dyDescent="0.35">
      <c r="A125" s="2508"/>
      <c r="B125" s="2192"/>
      <c r="C125" s="2192"/>
      <c r="D125" s="2192"/>
      <c r="E125" s="2192"/>
      <c r="F125" s="2192"/>
      <c r="G125" s="2192"/>
      <c r="H125" s="2192"/>
      <c r="I125" s="2192"/>
      <c r="J125" s="809"/>
    </row>
    <row r="126" spans="1:10" s="467" customFormat="1" x14ac:dyDescent="0.35">
      <c r="A126" s="2508"/>
      <c r="B126" s="2192"/>
      <c r="C126" s="2192"/>
      <c r="D126" s="2192"/>
      <c r="E126" s="2192"/>
      <c r="F126" s="2192"/>
      <c r="G126" s="2192"/>
      <c r="H126" s="2192"/>
      <c r="I126" s="2192"/>
      <c r="J126" s="809"/>
    </row>
    <row r="127" spans="1:10" s="467" customFormat="1" ht="2.25" customHeight="1" x14ac:dyDescent="0.35">
      <c r="A127" s="2508"/>
      <c r="B127" s="2192"/>
      <c r="C127" s="2192"/>
      <c r="D127" s="2192"/>
      <c r="E127" s="2192"/>
      <c r="F127" s="2192"/>
      <c r="G127" s="2192"/>
      <c r="H127" s="2192"/>
      <c r="I127" s="2192"/>
      <c r="J127" s="809"/>
    </row>
    <row r="128" spans="1:10" s="467" customFormat="1" ht="82.5" customHeight="1" x14ac:dyDescent="0.35">
      <c r="A128" s="1059"/>
      <c r="B128" s="2192" t="str">
        <f>"Dalam hal ini, "&amp;Input!$M$13&amp;" untuk mencapai visi dan tujuan organisasi, serta peran serta masyarakat dalam melestarikan kebudayaan, maka dilakukan penyerahan barang beruapa buku hasil kajian, jurnal dan hasil inventarisasi.  "&amp;"Rincian Beban Barang untuk Diserahkan kepada Masyarakat untuk  "&amp;Input!$M$24&amp;" dan "&amp;Input!$Y$25&amp;" adalah sebagai berikut:"</f>
        <v>Dalam hal ini, BALAI PELESTARIAN NILAI BUDAYA BALI untuk mencapai visi dan tujuan organisasi, serta peran serta masyarakat dalam melestarikan kebudayaan, maka dilakukan penyerahan barang beruapa buku hasil kajian, jurnal dan hasil inventarisasi.  Rincian Beban Barang untuk Diserahkan kepada Masyarakat untuk  31 Desember 2019 dan 2018 adalah sebagai berikut:</v>
      </c>
      <c r="C128" s="2192"/>
      <c r="D128" s="2192"/>
      <c r="E128" s="2192"/>
      <c r="F128" s="2192"/>
      <c r="G128" s="2192"/>
      <c r="H128" s="2192"/>
      <c r="I128" s="2192"/>
      <c r="J128" s="809"/>
    </row>
    <row r="129" spans="1:10" s="467" customFormat="1" ht="8.25" customHeight="1" x14ac:dyDescent="0.35">
      <c r="A129" s="1059"/>
      <c r="B129" s="1366"/>
      <c r="C129" s="1366"/>
      <c r="D129" s="1366"/>
      <c r="E129" s="1366"/>
      <c r="F129" s="1366"/>
      <c r="G129" s="1366"/>
      <c r="H129" s="1366"/>
      <c r="I129" s="1366"/>
      <c r="J129" s="809"/>
    </row>
    <row r="130" spans="1:10" s="467" customFormat="1" x14ac:dyDescent="0.35">
      <c r="A130" s="1059"/>
      <c r="B130" s="2800" t="str">
        <f>"Rincian Beban Barang untuk Diserahkan kepada Masyarakat "&amp;Input!$M$24&amp;" dan "&amp;Input!$Y$25&amp;" "</f>
        <v xml:space="preserve">Rincian Beban Barang untuk Diserahkan kepada Masyarakat 31 Desember 2019 dan 2018 </v>
      </c>
      <c r="C130" s="2800"/>
      <c r="D130" s="2800"/>
      <c r="E130" s="2800"/>
      <c r="F130" s="2800"/>
      <c r="G130" s="2800"/>
      <c r="H130" s="2800"/>
      <c r="I130" s="2800"/>
      <c r="J130" s="809"/>
    </row>
    <row r="131" spans="1:10" s="467" customFormat="1" ht="46.5" customHeight="1" x14ac:dyDescent="0.35">
      <c r="A131" s="939"/>
      <c r="B131" s="981" t="s">
        <v>133</v>
      </c>
      <c r="C131" s="2510" t="s">
        <v>1810</v>
      </c>
      <c r="D131" s="2511"/>
      <c r="E131" s="934" t="str">
        <f>Input!$M$24</f>
        <v>31 Desember 2019</v>
      </c>
      <c r="F131" s="2540" t="str">
        <f>Input!$M$25</f>
        <v>31 Desember 2018</v>
      </c>
      <c r="G131" s="2541"/>
      <c r="H131" s="2609" t="s">
        <v>1785</v>
      </c>
      <c r="I131" s="2611"/>
      <c r="J131" s="809"/>
    </row>
    <row r="132" spans="1:10" s="467" customFormat="1" ht="30.75" customHeight="1" x14ac:dyDescent="0.35">
      <c r="A132" s="939"/>
      <c r="B132" s="1396">
        <v>1</v>
      </c>
      <c r="C132" s="2839" t="s">
        <v>1806</v>
      </c>
      <c r="D132" s="2840"/>
      <c r="E132" s="1473">
        <f>Input!H373</f>
        <v>0</v>
      </c>
      <c r="F132" s="2843"/>
      <c r="G132" s="2844"/>
      <c r="H132" s="2798">
        <f t="shared" ref="H132:H135" si="12">IF(ISERROR((E132-F132)/F132),0,((E132-F132)/F132))</f>
        <v>0</v>
      </c>
      <c r="I132" s="2799"/>
      <c r="J132" s="809"/>
    </row>
    <row r="133" spans="1:10" s="467" customFormat="1" ht="27.75" customHeight="1" x14ac:dyDescent="0.35">
      <c r="A133" s="939"/>
      <c r="B133" s="1396">
        <f>B132+1</f>
        <v>2</v>
      </c>
      <c r="C133" s="2839" t="s">
        <v>1807</v>
      </c>
      <c r="D133" s="2840"/>
      <c r="E133" s="1474">
        <f>Input!H372</f>
        <v>0</v>
      </c>
      <c r="F133" s="2843"/>
      <c r="G133" s="2844"/>
      <c r="H133" s="2798">
        <f t="shared" si="12"/>
        <v>0</v>
      </c>
      <c r="I133" s="2799"/>
      <c r="J133" s="809"/>
    </row>
    <row r="134" spans="1:10" s="467" customFormat="1" ht="28.5" customHeight="1" x14ac:dyDescent="0.35">
      <c r="A134" s="939"/>
      <c r="B134" s="1396">
        <f>B133+1</f>
        <v>3</v>
      </c>
      <c r="C134" s="2839" t="s">
        <v>1808</v>
      </c>
      <c r="D134" s="2840"/>
      <c r="E134" s="1473">
        <f>Input!D381</f>
        <v>220000000</v>
      </c>
      <c r="F134" s="2843">
        <f>Input!M381</f>
        <v>230190000</v>
      </c>
      <c r="G134" s="2844">
        <v>0</v>
      </c>
      <c r="H134" s="2798">
        <f t="shared" si="12"/>
        <v>-4.4267778791433163E-2</v>
      </c>
      <c r="I134" s="2799"/>
      <c r="J134" s="809"/>
    </row>
    <row r="135" spans="1:10" s="467" customFormat="1" x14ac:dyDescent="0.35">
      <c r="A135" s="939"/>
      <c r="B135" s="1040"/>
      <c r="C135" s="2272" t="s">
        <v>116</v>
      </c>
      <c r="D135" s="2273"/>
      <c r="E135" s="975">
        <f>SUM(E132:E134)</f>
        <v>220000000</v>
      </c>
      <c r="F135" s="2791">
        <f>SUM(F132:G134)</f>
        <v>230190000</v>
      </c>
      <c r="G135" s="2792"/>
      <c r="H135" s="2841">
        <f t="shared" si="12"/>
        <v>-4.4267778791433163E-2</v>
      </c>
      <c r="I135" s="2842"/>
      <c r="J135" s="809"/>
    </row>
    <row r="136" spans="1:10" s="467" customFormat="1" ht="6.75" customHeight="1" x14ac:dyDescent="0.35">
      <c r="A136" s="939"/>
      <c r="B136" s="720"/>
      <c r="C136" s="720"/>
      <c r="D136" s="720"/>
      <c r="E136" s="720"/>
      <c r="F136" s="720"/>
      <c r="G136" s="720"/>
      <c r="H136" s="720"/>
      <c r="I136" s="720"/>
      <c r="J136" s="809"/>
    </row>
    <row r="137" spans="1:10" s="467" customFormat="1" x14ac:dyDescent="0.3">
      <c r="A137" s="2508" t="str">
        <f>"Beban Bantuan Sosial "&amp;TEXT($E$149,"Rp#.##0")</f>
        <v>Beban Bantuan Sosial Rp0</v>
      </c>
      <c r="B137" s="902" t="s">
        <v>1809</v>
      </c>
      <c r="C137" s="738"/>
      <c r="D137" s="738"/>
      <c r="E137" s="738"/>
      <c r="F137" s="738"/>
      <c r="G137" s="738"/>
      <c r="H137" s="738"/>
      <c r="I137" s="738"/>
      <c r="J137" s="809"/>
    </row>
    <row r="138" spans="1:10" s="467" customFormat="1" ht="9.75" hidden="1" customHeight="1" x14ac:dyDescent="0.3">
      <c r="A138" s="2508"/>
      <c r="B138" s="720"/>
      <c r="C138" s="904"/>
      <c r="D138" s="904"/>
      <c r="E138" s="904"/>
      <c r="F138" s="904"/>
      <c r="G138" s="904"/>
      <c r="H138" s="904"/>
      <c r="I138" s="904"/>
      <c r="J138" s="809"/>
    </row>
    <row r="139" spans="1:10" s="467" customFormat="1" ht="15.75" customHeight="1" x14ac:dyDescent="0.35">
      <c r="A139" s="2508"/>
      <c r="B139" s="2192" t="str">
        <f>"Beban Bantuan Sosial "&amp;Input!$M$24&amp;" dan "&amp;Input!$Y$25&amp;" adalah masing-masing sebesar "&amp;TEXT(Input!$L$775,"Rp#.##0")&amp;" dan "&amp;TEXT(Input!$M$775,"Rp#.##0")&amp;". Beban bantuan sosial merupakan beban pemerintah dalam bentuk uang/barang atau jasa kepada masyarakat untuk peningkatan menghindari terjadinya resiko sosial dan bersifat selektif. Rincian Beban Bantuan Sosial untuk "&amp;Input!$M$24&amp;" dan "&amp;Input!$M$25&amp;" adalah sebagai berikut:"</f>
        <v>Beban Bantuan Sosial 31 Desember 2019 dan 2018 adalah masing-masing sebesar Rp0 dan Rp0. Beban bantuan sosial merupakan beban pemerintah dalam bentuk uang/barang atau jasa kepada masyarakat untuk peningkatan menghindari terjadinya resiko sosial dan bersifat selektif. Rincian Beban Bantuan Sosial untuk 31 Desember 2019 dan 31 Desember 2018 adalah sebagai berikut:</v>
      </c>
      <c r="C139" s="2192"/>
      <c r="D139" s="2192"/>
      <c r="E139" s="2192"/>
      <c r="F139" s="2192"/>
      <c r="G139" s="2192"/>
      <c r="H139" s="2192"/>
      <c r="I139" s="2192"/>
      <c r="J139" s="809"/>
    </row>
    <row r="140" spans="1:10" s="467" customFormat="1" x14ac:dyDescent="0.35">
      <c r="A140" s="2508"/>
      <c r="B140" s="2192"/>
      <c r="C140" s="2192"/>
      <c r="D140" s="2192"/>
      <c r="E140" s="2192"/>
      <c r="F140" s="2192"/>
      <c r="G140" s="2192"/>
      <c r="H140" s="2192"/>
      <c r="I140" s="2192"/>
      <c r="J140" s="809"/>
    </row>
    <row r="141" spans="1:10" s="467" customFormat="1" x14ac:dyDescent="0.35">
      <c r="A141" s="2508"/>
      <c r="B141" s="2192"/>
      <c r="C141" s="2192"/>
      <c r="D141" s="2192"/>
      <c r="E141" s="2192"/>
      <c r="F141" s="2192"/>
      <c r="G141" s="2192"/>
      <c r="H141" s="2192"/>
      <c r="I141" s="2192"/>
      <c r="J141" s="809"/>
    </row>
    <row r="142" spans="1:10" s="467" customFormat="1" x14ac:dyDescent="0.35">
      <c r="A142" s="1043"/>
      <c r="B142" s="2192"/>
      <c r="C142" s="2192"/>
      <c r="D142" s="2192"/>
      <c r="E142" s="2192"/>
      <c r="F142" s="2192"/>
      <c r="G142" s="2192"/>
      <c r="H142" s="2192"/>
      <c r="I142" s="2192"/>
      <c r="J142" s="809"/>
    </row>
    <row r="143" spans="1:10" s="467" customFormat="1" ht="7.5" customHeight="1" x14ac:dyDescent="0.35">
      <c r="A143" s="1043"/>
      <c r="B143" s="844"/>
      <c r="C143" s="844"/>
      <c r="D143" s="844"/>
      <c r="E143" s="844"/>
      <c r="F143" s="844"/>
      <c r="G143" s="844"/>
      <c r="H143" s="844"/>
      <c r="I143" s="844"/>
      <c r="J143" s="809"/>
    </row>
    <row r="144" spans="1:10" s="467" customFormat="1" x14ac:dyDescent="0.35">
      <c r="A144" s="1043"/>
      <c r="B144" s="2800" t="str">
        <f>"Rincian Beban Bantuan Sosial "&amp;Input!$M$24&amp;" dan "&amp;Input!$M$25&amp;" "</f>
        <v xml:space="preserve">Rincian Beban Bantuan Sosial 31 Desember 2019 dan 31 Desember 2018 </v>
      </c>
      <c r="C144" s="2800"/>
      <c r="D144" s="2800"/>
      <c r="E144" s="2800"/>
      <c r="F144" s="2800"/>
      <c r="G144" s="2800"/>
      <c r="H144" s="2800"/>
      <c r="I144" s="2800"/>
      <c r="J144" s="809"/>
    </row>
    <row r="145" spans="1:10" s="467" customFormat="1" ht="43.5" customHeight="1" x14ac:dyDescent="0.35">
      <c r="A145" s="939"/>
      <c r="B145" s="981" t="s">
        <v>133</v>
      </c>
      <c r="C145" s="2510" t="s">
        <v>1810</v>
      </c>
      <c r="D145" s="2511"/>
      <c r="E145" s="934" t="str">
        <f>Input!$M$24</f>
        <v>31 Desember 2019</v>
      </c>
      <c r="F145" s="2540" t="str">
        <f>Input!$M$25</f>
        <v>31 Desember 2018</v>
      </c>
      <c r="G145" s="2541"/>
      <c r="H145" s="2609" t="s">
        <v>1785</v>
      </c>
      <c r="I145" s="2611"/>
      <c r="J145" s="809"/>
    </row>
    <row r="146" spans="1:10" s="467" customFormat="1" x14ac:dyDescent="0.35">
      <c r="A146" s="939"/>
      <c r="B146" s="919">
        <v>1</v>
      </c>
      <c r="C146" s="2759" t="s">
        <v>1811</v>
      </c>
      <c r="D146" s="2760"/>
      <c r="E146" s="1041">
        <v>0</v>
      </c>
      <c r="F146" s="2787">
        <v>0</v>
      </c>
      <c r="G146" s="2788"/>
      <c r="H146" s="2789">
        <f t="shared" ref="H146:H149" si="13">IF(ISERROR((E146-F146)/F146),0,((E146-F146)/F146))</f>
        <v>0</v>
      </c>
      <c r="I146" s="2790"/>
      <c r="J146" s="809"/>
    </row>
    <row r="147" spans="1:10" s="467" customFormat="1" x14ac:dyDescent="0.35">
      <c r="A147" s="939"/>
      <c r="B147" s="919">
        <f>B146+1</f>
        <v>2</v>
      </c>
      <c r="C147" s="2759" t="s">
        <v>1812</v>
      </c>
      <c r="D147" s="2760"/>
      <c r="E147" s="1041">
        <v>0</v>
      </c>
      <c r="F147" s="2787">
        <v>0</v>
      </c>
      <c r="G147" s="2788"/>
      <c r="H147" s="2789">
        <f t="shared" si="13"/>
        <v>0</v>
      </c>
      <c r="I147" s="2790"/>
      <c r="J147" s="809"/>
    </row>
    <row r="148" spans="1:10" s="467" customFormat="1" x14ac:dyDescent="0.35">
      <c r="A148" s="939"/>
      <c r="B148" s="919">
        <f>B147+1</f>
        <v>3</v>
      </c>
      <c r="C148" s="2759" t="s">
        <v>1813</v>
      </c>
      <c r="D148" s="2760"/>
      <c r="E148" s="1041">
        <v>0</v>
      </c>
      <c r="F148" s="2787">
        <v>0</v>
      </c>
      <c r="G148" s="2788"/>
      <c r="H148" s="2789">
        <f t="shared" si="13"/>
        <v>0</v>
      </c>
      <c r="I148" s="2790"/>
      <c r="J148" s="809"/>
    </row>
    <row r="149" spans="1:10" s="467" customFormat="1" x14ac:dyDescent="0.35">
      <c r="A149" s="939"/>
      <c r="B149" s="1040"/>
      <c r="C149" s="2272" t="s">
        <v>116</v>
      </c>
      <c r="D149" s="2273"/>
      <c r="E149" s="975">
        <f>SUM(E146:E148)</f>
        <v>0</v>
      </c>
      <c r="F149" s="2791">
        <f>SUM(F146:G148)</f>
        <v>0</v>
      </c>
      <c r="G149" s="2792"/>
      <c r="H149" s="2791">
        <f t="shared" si="13"/>
        <v>0</v>
      </c>
      <c r="I149" s="2793"/>
      <c r="J149" s="809"/>
    </row>
    <row r="150" spans="1:10" s="467" customFormat="1" ht="6" customHeight="1" x14ac:dyDescent="0.35">
      <c r="A150" s="939"/>
      <c r="B150" s="720"/>
      <c r="C150" s="720"/>
      <c r="D150" s="720"/>
      <c r="E150" s="720"/>
      <c r="F150" s="720"/>
      <c r="G150" s="720"/>
      <c r="H150" s="720"/>
      <c r="I150" s="720"/>
      <c r="J150" s="809"/>
    </row>
    <row r="151" spans="1:10" s="467" customFormat="1" x14ac:dyDescent="0.3">
      <c r="A151" s="2508" t="str">
        <f>"Beban Penyusutan dan Amortisasi "&amp;TEXT($E$171,"Rp#.##0")</f>
        <v>Beban Penyusutan dan Amortisasi Rp902.340.970</v>
      </c>
      <c r="B151" s="902" t="s">
        <v>1814</v>
      </c>
      <c r="C151" s="738"/>
      <c r="D151" s="738"/>
      <c r="E151" s="738"/>
      <c r="F151" s="738"/>
      <c r="G151" s="738"/>
      <c r="H151" s="738"/>
      <c r="I151" s="738"/>
      <c r="J151" s="809"/>
    </row>
    <row r="152" spans="1:10" s="467" customFormat="1" ht="7.5" hidden="1" customHeight="1" x14ac:dyDescent="0.3">
      <c r="A152" s="2508"/>
      <c r="B152" s="720"/>
      <c r="C152" s="904"/>
      <c r="D152" s="904"/>
      <c r="E152" s="904"/>
      <c r="F152" s="904"/>
      <c r="G152" s="904"/>
      <c r="H152" s="904"/>
      <c r="I152" s="904"/>
      <c r="J152" s="809"/>
    </row>
    <row r="153" spans="1:10" s="467" customFormat="1" ht="15.75" customHeight="1" x14ac:dyDescent="0.35">
      <c r="A153" s="2508"/>
      <c r="B153" s="2192" t="str">
        <f>"Jumlah Beban Penyusutan dan Amortisasi untuk Tahun "&amp;Input!$Y$24&amp;" dan "&amp;Input!$Y$25&amp;" adalah masing-masing sebesar "&amp;TEXT(Input!$L$776,"Rp#.##0")&amp;" dan "&amp;TEXT(Input!$M$776,"Rp#.##0")&amp;". Beban Penyusutan adalah merupakan beban untuk mencatat alokasi sistematis atas nilai suatu aset tetap yang dapat disusutkan (depreciable assets) selama masa manfaat aset yang bersangkutan. "&amp;"Sedangkan Beban Amortisasi digunakan untuk mencatat alokasi penurunan manfaat ekonomi untuk Aset Tak berwujud. Rincian Beban Penyusutan dan Amortisasi untuk  Tahun "&amp;Input!$Y$24&amp;" dan "&amp;Input!$Y$25&amp;" adalah sebagai berikut:"</f>
        <v>Jumlah Beban Penyusutan dan Amortisasi untuk Tahun 2019 dan 2018 adalah masing-masing sebesar Rp902.340.970 dan Rp332.803.461. Beban Penyusutan adalah merupakan beban untuk mencatat alokasi sistematis atas nilai suatu aset tetap yang dapat disusutkan (depreciable assets) selama masa manfaat aset yang bersangkutan. Sedangkan Beban Amortisasi digunakan untuk mencatat alokasi penurunan manfaat ekonomi untuk Aset Tak berwujud. Rincian Beban Penyusutan dan Amortisasi untuk  Tahun 2019 dan 2018 adalah sebagai berikut:</v>
      </c>
      <c r="C153" s="2192"/>
      <c r="D153" s="2192"/>
      <c r="E153" s="2192"/>
      <c r="F153" s="2192"/>
      <c r="G153" s="2192"/>
      <c r="H153" s="2192"/>
      <c r="I153" s="2192"/>
      <c r="J153" s="809"/>
    </row>
    <row r="154" spans="1:10" s="467" customFormat="1" ht="21.75" customHeight="1" x14ac:dyDescent="0.35">
      <c r="A154" s="2508"/>
      <c r="B154" s="2192"/>
      <c r="C154" s="2192"/>
      <c r="D154" s="2192"/>
      <c r="E154" s="2192"/>
      <c r="F154" s="2192"/>
      <c r="G154" s="2192"/>
      <c r="H154" s="2192"/>
      <c r="I154" s="2192"/>
      <c r="J154" s="809"/>
    </row>
    <row r="155" spans="1:10" s="467" customFormat="1" x14ac:dyDescent="0.35">
      <c r="A155" s="939"/>
      <c r="B155" s="2192"/>
      <c r="C155" s="2192"/>
      <c r="D155" s="2192"/>
      <c r="E155" s="2192"/>
      <c r="F155" s="2192"/>
      <c r="G155" s="2192"/>
      <c r="H155" s="2192"/>
      <c r="I155" s="2192"/>
      <c r="J155" s="809"/>
    </row>
    <row r="156" spans="1:10" s="467" customFormat="1" x14ac:dyDescent="0.35">
      <c r="A156" s="939"/>
      <c r="B156" s="2192"/>
      <c r="C156" s="2192"/>
      <c r="D156" s="2192"/>
      <c r="E156" s="2192"/>
      <c r="F156" s="2192"/>
      <c r="G156" s="2192"/>
      <c r="H156" s="2192"/>
      <c r="I156" s="2192"/>
      <c r="J156" s="809"/>
    </row>
    <row r="157" spans="1:10" s="467" customFormat="1" x14ac:dyDescent="0.35">
      <c r="A157" s="939"/>
      <c r="B157" s="2192"/>
      <c r="C157" s="2192"/>
      <c r="D157" s="2192"/>
      <c r="E157" s="2192"/>
      <c r="F157" s="2192"/>
      <c r="G157" s="2192"/>
      <c r="H157" s="2192"/>
      <c r="I157" s="2192"/>
      <c r="J157" s="809"/>
    </row>
    <row r="158" spans="1:10" s="467" customFormat="1" ht="21" customHeight="1" x14ac:dyDescent="0.35">
      <c r="A158" s="1043"/>
      <c r="B158" s="2192"/>
      <c r="C158" s="2192"/>
      <c r="D158" s="2192"/>
      <c r="E158" s="2192"/>
      <c r="F158" s="2192"/>
      <c r="G158" s="2192"/>
      <c r="H158" s="2192"/>
      <c r="I158" s="2192"/>
      <c r="J158" s="809"/>
    </row>
    <row r="159" spans="1:10" s="467" customFormat="1" ht="4.5" customHeight="1" x14ac:dyDescent="0.35">
      <c r="A159" s="1043"/>
      <c r="B159" s="844"/>
      <c r="C159" s="844"/>
      <c r="D159" s="844"/>
      <c r="E159" s="844"/>
      <c r="F159" s="844"/>
      <c r="G159" s="844"/>
      <c r="H159" s="844"/>
      <c r="I159" s="844"/>
      <c r="J159" s="809"/>
    </row>
    <row r="160" spans="1:10" s="467" customFormat="1" ht="12.75" customHeight="1" x14ac:dyDescent="0.35">
      <c r="A160" s="1043"/>
      <c r="B160" s="2838" t="str">
        <f>"Rincian Beban Penyusutan dan Amortisasi "&amp;Input!$M$24&amp;" dan "&amp;Input!$M$25&amp;" "</f>
        <v xml:space="preserve">Rincian Beban Penyusutan dan Amortisasi 31 Desember 2019 dan 31 Desember 2018 </v>
      </c>
      <c r="C160" s="2838"/>
      <c r="D160" s="2838"/>
      <c r="E160" s="2838"/>
      <c r="F160" s="2838"/>
      <c r="G160" s="2838"/>
      <c r="H160" s="2838"/>
      <c r="I160" s="2838"/>
      <c r="J160" s="809"/>
    </row>
    <row r="161" spans="1:10" s="467" customFormat="1" ht="42" customHeight="1" x14ac:dyDescent="0.35">
      <c r="A161" s="939"/>
      <c r="B161" s="981" t="s">
        <v>133</v>
      </c>
      <c r="C161" s="2510" t="s">
        <v>1815</v>
      </c>
      <c r="D161" s="2511"/>
      <c r="E161" s="934" t="str">
        <f>Input!$M$24</f>
        <v>31 Desember 2019</v>
      </c>
      <c r="F161" s="2540" t="str">
        <f>Input!$M$25</f>
        <v>31 Desember 2018</v>
      </c>
      <c r="G161" s="2541"/>
      <c r="H161" s="2609" t="s">
        <v>1785</v>
      </c>
      <c r="I161" s="2611"/>
      <c r="J161" s="809"/>
    </row>
    <row r="162" spans="1:10" s="467" customFormat="1" x14ac:dyDescent="0.3">
      <c r="A162" s="939"/>
      <c r="B162" s="919">
        <v>1</v>
      </c>
      <c r="C162" s="2759" t="s">
        <v>1816</v>
      </c>
      <c r="D162" s="2760"/>
      <c r="E162" s="1475">
        <v>733909714</v>
      </c>
      <c r="F162" s="2836">
        <v>256044944</v>
      </c>
      <c r="G162" s="2837">
        <v>1236678248</v>
      </c>
      <c r="H162" s="2832">
        <f t="shared" ref="H162:H171" si="14">IF(ISERROR((E162-F162)/F162),0,((E162-F162)/F162))</f>
        <v>1.8663315999709802</v>
      </c>
      <c r="I162" s="2833"/>
      <c r="J162" s="809"/>
    </row>
    <row r="163" spans="1:10" s="467" customFormat="1" x14ac:dyDescent="0.3">
      <c r="A163" s="939"/>
      <c r="B163" s="919">
        <f>B162+1</f>
        <v>2</v>
      </c>
      <c r="C163" s="2759" t="s">
        <v>1817</v>
      </c>
      <c r="D163" s="2760"/>
      <c r="E163" s="1475">
        <v>167671614</v>
      </c>
      <c r="F163" s="2836">
        <v>76384451</v>
      </c>
      <c r="G163" s="2837">
        <v>109418198</v>
      </c>
      <c r="H163" s="2832">
        <f t="shared" si="14"/>
        <v>1.1951013826099242</v>
      </c>
      <c r="I163" s="2833"/>
      <c r="J163" s="809"/>
    </row>
    <row r="164" spans="1:10" s="467" customFormat="1" x14ac:dyDescent="0.35">
      <c r="A164" s="939"/>
      <c r="B164" s="919">
        <f>B163+1</f>
        <v>3</v>
      </c>
      <c r="C164" s="2759" t="s">
        <v>1818</v>
      </c>
      <c r="D164" s="2760"/>
      <c r="E164" s="1475">
        <v>759642</v>
      </c>
      <c r="F164" s="2787">
        <v>374066</v>
      </c>
      <c r="G164" s="2788"/>
      <c r="H164" s="2832">
        <f t="shared" si="14"/>
        <v>1.0307699710746232</v>
      </c>
      <c r="I164" s="2833"/>
      <c r="J164" s="809"/>
    </row>
    <row r="165" spans="1:10" s="467" customFormat="1" x14ac:dyDescent="0.35">
      <c r="A165" s="939"/>
      <c r="B165" s="919">
        <f>B164+1</f>
        <v>4</v>
      </c>
      <c r="C165" s="2759" t="s">
        <v>1819</v>
      </c>
      <c r="D165" s="2760"/>
      <c r="E165" s="1475"/>
      <c r="F165" s="2787"/>
      <c r="G165" s="2788"/>
      <c r="H165" s="2832">
        <f t="shared" si="14"/>
        <v>0</v>
      </c>
      <c r="I165" s="2833"/>
      <c r="J165" s="809"/>
    </row>
    <row r="166" spans="1:10" s="467" customFormat="1" x14ac:dyDescent="0.35">
      <c r="A166" s="939"/>
      <c r="B166" s="919"/>
      <c r="C166" s="2834" t="s">
        <v>1820</v>
      </c>
      <c r="D166" s="2835"/>
      <c r="E166" s="1475"/>
      <c r="F166" s="2787">
        <f>F162+F163+F164+F165</f>
        <v>332803461</v>
      </c>
      <c r="G166" s="2788"/>
      <c r="H166" s="2832">
        <f t="shared" si="14"/>
        <v>-1</v>
      </c>
      <c r="I166" s="2833"/>
      <c r="J166" s="809"/>
    </row>
    <row r="167" spans="1:10" s="467" customFormat="1" x14ac:dyDescent="0.35">
      <c r="A167" s="939"/>
      <c r="B167" s="919"/>
      <c r="C167" s="2834"/>
      <c r="D167" s="2835"/>
      <c r="E167" s="1475"/>
      <c r="F167" s="2787"/>
      <c r="G167" s="2788"/>
      <c r="H167" s="2832"/>
      <c r="I167" s="2833"/>
      <c r="J167" s="809"/>
    </row>
    <row r="168" spans="1:10" s="467" customFormat="1" x14ac:dyDescent="0.35">
      <c r="A168" s="939"/>
      <c r="B168" s="919">
        <v>1</v>
      </c>
      <c r="C168" s="2759" t="s">
        <v>2221</v>
      </c>
      <c r="D168" s="2760"/>
      <c r="E168" s="1475"/>
      <c r="F168" s="2787">
        <v>0</v>
      </c>
      <c r="G168" s="2788"/>
      <c r="H168" s="2832">
        <f t="shared" si="14"/>
        <v>0</v>
      </c>
      <c r="I168" s="2833"/>
      <c r="J168" s="809"/>
    </row>
    <row r="169" spans="1:10" s="467" customFormat="1" x14ac:dyDescent="0.35">
      <c r="A169" s="939"/>
      <c r="B169" s="919">
        <f>B168+1</f>
        <v>2</v>
      </c>
      <c r="C169" s="2759" t="s">
        <v>1823</v>
      </c>
      <c r="D169" s="2760"/>
      <c r="E169" s="1475"/>
      <c r="F169" s="2787"/>
      <c r="G169" s="2788"/>
      <c r="H169" s="2832">
        <f t="shared" si="14"/>
        <v>0</v>
      </c>
      <c r="I169" s="2833"/>
      <c r="J169" s="809"/>
    </row>
    <row r="170" spans="1:10" s="467" customFormat="1" x14ac:dyDescent="0.35">
      <c r="A170" s="939"/>
      <c r="B170" s="919"/>
      <c r="C170" s="2834" t="s">
        <v>1822</v>
      </c>
      <c r="D170" s="2835"/>
      <c r="E170" s="1475"/>
      <c r="F170" s="2787"/>
      <c r="G170" s="2788"/>
      <c r="H170" s="2832">
        <f t="shared" si="14"/>
        <v>0</v>
      </c>
      <c r="I170" s="2833"/>
      <c r="J170" s="809"/>
    </row>
    <row r="171" spans="1:10" s="467" customFormat="1" x14ac:dyDescent="0.35">
      <c r="A171" s="939"/>
      <c r="B171" s="1040"/>
      <c r="C171" s="2272" t="s">
        <v>1821</v>
      </c>
      <c r="D171" s="2273"/>
      <c r="E171" s="1475">
        <f>E162+E163+E164</f>
        <v>902340970</v>
      </c>
      <c r="F171" s="2791">
        <f>F170+F166</f>
        <v>332803461</v>
      </c>
      <c r="G171" s="2792"/>
      <c r="H171" s="2805">
        <f t="shared" si="14"/>
        <v>1.7113328908559637</v>
      </c>
      <c r="I171" s="2806"/>
      <c r="J171" s="809"/>
    </row>
    <row r="172" spans="1:10" s="458" customFormat="1" x14ac:dyDescent="0.35">
      <c r="A172" s="939"/>
      <c r="B172" s="720"/>
      <c r="C172" s="720"/>
      <c r="D172" s="720"/>
      <c r="E172" s="720"/>
      <c r="F172" s="720"/>
      <c r="G172" s="720"/>
      <c r="H172" s="720"/>
      <c r="I172" s="720"/>
      <c r="J172" s="809"/>
    </row>
    <row r="173" spans="1:10" s="467" customFormat="1" x14ac:dyDescent="0.3">
      <c r="A173" s="2868" t="str">
        <f>"Beban Penyisihan Piutang Tak Tertagih "&amp;TEXT($E$184,"Rp#.##0")</f>
        <v>Beban Penyisihan Piutang Tak Tertagih Rp0</v>
      </c>
      <c r="B173" s="1022" t="s">
        <v>1824</v>
      </c>
      <c r="C173" s="995"/>
      <c r="D173" s="995"/>
      <c r="E173" s="995"/>
      <c r="F173" s="995"/>
      <c r="G173" s="995"/>
      <c r="H173" s="995"/>
      <c r="I173" s="995"/>
      <c r="J173" s="817"/>
    </row>
    <row r="174" spans="1:10" s="467" customFormat="1" ht="8.25" hidden="1" customHeight="1" x14ac:dyDescent="0.3">
      <c r="A174" s="2868"/>
      <c r="B174" s="1024"/>
      <c r="C174" s="990"/>
      <c r="D174" s="990"/>
      <c r="E174" s="990"/>
      <c r="F174" s="990"/>
      <c r="G174" s="990"/>
      <c r="H174" s="990"/>
      <c r="I174" s="990"/>
      <c r="J174" s="817"/>
    </row>
    <row r="175" spans="1:10" s="467" customFormat="1" ht="15.75" customHeight="1" x14ac:dyDescent="0.35">
      <c r="A175" s="2868"/>
      <c r="B175" s="2244" t="str">
        <f>"Beban Penyisihan Piutang Tak Tertagih merupakan beban untuk mencatat estimasi ketidaktertagihan piutang dalam suatu periode. Jumlah Beban Penyisihan Piutang Tak Tertagih untuk Tahun "&amp;Input!$Y$24&amp;" dan "&amp;Input!$Y$25&amp;" masing-masing sebesar "&amp;TEXT(Input!$L$777,"Rp#.##0")&amp;" dan "&amp;TEXT(Input!$M$777,"Rp#.##0")&amp;". Rincian Beban Penyisihan Piutang Tak Tertagih untuk Tahun  "&amp;Input!$Y$24&amp;" dan "&amp;Input!$Y$25&amp;" adalah sebagai berikut:"</f>
        <v>Beban Penyisihan Piutang Tak Tertagih merupakan beban untuk mencatat estimasi ketidaktertagihan piutang dalam suatu periode. Jumlah Beban Penyisihan Piutang Tak Tertagih untuk Tahun 2019 dan 2018 masing-masing sebesar Rp0 dan Rp0. Rincian Beban Penyisihan Piutang Tak Tertagih untuk Tahun  2019 dan 2018 adalah sebagai berikut:</v>
      </c>
      <c r="C175" s="2244"/>
      <c r="D175" s="2244"/>
      <c r="E175" s="2244"/>
      <c r="F175" s="2244"/>
      <c r="G175" s="2244"/>
      <c r="H175" s="2244"/>
      <c r="I175" s="2244"/>
      <c r="J175" s="817"/>
    </row>
    <row r="176" spans="1:10" s="467" customFormat="1" x14ac:dyDescent="0.35">
      <c r="A176" s="2868"/>
      <c r="B176" s="2244"/>
      <c r="C176" s="2244"/>
      <c r="D176" s="2244"/>
      <c r="E176" s="2244"/>
      <c r="F176" s="2244"/>
      <c r="G176" s="2244"/>
      <c r="H176" s="2244"/>
      <c r="I176" s="2244"/>
      <c r="J176" s="817"/>
    </row>
    <row r="177" spans="1:10" s="467" customFormat="1" x14ac:dyDescent="0.35">
      <c r="A177" s="2868"/>
      <c r="B177" s="2244"/>
      <c r="C177" s="2244"/>
      <c r="D177" s="2244"/>
      <c r="E177" s="2244"/>
      <c r="F177" s="2244"/>
      <c r="G177" s="2244"/>
      <c r="H177" s="2244"/>
      <c r="I177" s="2244"/>
      <c r="J177" s="817"/>
    </row>
    <row r="178" spans="1:10" s="467" customFormat="1" x14ac:dyDescent="0.35">
      <c r="A178" s="1052"/>
      <c r="B178" s="2244"/>
      <c r="C178" s="2244"/>
      <c r="D178" s="2244"/>
      <c r="E178" s="2244"/>
      <c r="F178" s="2244"/>
      <c r="G178" s="2244"/>
      <c r="H178" s="2244"/>
      <c r="I178" s="2244"/>
      <c r="J178" s="817"/>
    </row>
    <row r="179" spans="1:10" s="467" customFormat="1" ht="8.25" customHeight="1" x14ac:dyDescent="0.35">
      <c r="A179" s="1053"/>
      <c r="B179" s="1046"/>
      <c r="C179" s="1046"/>
      <c r="D179" s="1046"/>
      <c r="E179" s="1046"/>
      <c r="F179" s="1046"/>
      <c r="G179" s="1046"/>
      <c r="H179" s="1046"/>
      <c r="I179" s="1046"/>
      <c r="J179" s="817"/>
    </row>
    <row r="180" spans="1:10" s="467" customFormat="1" x14ac:dyDescent="0.35">
      <c r="A180" s="1053"/>
      <c r="B180" s="2825" t="str">
        <f>"Rincian Beban Penyisihan Piutang Tak Tertagih untuk Tahun "&amp;Input!$Y$24&amp;" dan "&amp;Input!$Y$25&amp;" "</f>
        <v xml:space="preserve">Rincian Beban Penyisihan Piutang Tak Tertagih untuk Tahun 2019 dan 2018 </v>
      </c>
      <c r="C180" s="2825"/>
      <c r="D180" s="2825"/>
      <c r="E180" s="2825"/>
      <c r="F180" s="2825"/>
      <c r="G180" s="2825"/>
      <c r="H180" s="2825"/>
      <c r="I180" s="2825"/>
      <c r="J180" s="817"/>
    </row>
    <row r="181" spans="1:10" s="467" customFormat="1" ht="40.5" customHeight="1" x14ac:dyDescent="0.35">
      <c r="A181" s="939"/>
      <c r="B181" s="1030" t="s">
        <v>133</v>
      </c>
      <c r="C181" s="2826" t="s">
        <v>1810</v>
      </c>
      <c r="D181" s="2827"/>
      <c r="E181" s="1031" t="str">
        <f>Input!$M$24</f>
        <v>31 Desember 2019</v>
      </c>
      <c r="F181" s="2828" t="str">
        <f>Input!$M$25</f>
        <v>31 Desember 2018</v>
      </c>
      <c r="G181" s="2829"/>
      <c r="H181" s="2830" t="s">
        <v>1785</v>
      </c>
      <c r="I181" s="2831"/>
      <c r="J181" s="809"/>
    </row>
    <row r="182" spans="1:10" s="467" customFormat="1" x14ac:dyDescent="0.35">
      <c r="A182" s="939"/>
      <c r="B182" s="1032">
        <v>1</v>
      </c>
      <c r="C182" s="2813" t="s">
        <v>2008</v>
      </c>
      <c r="D182" s="2814"/>
      <c r="E182" s="1039"/>
      <c r="F182" s="2815">
        <v>0</v>
      </c>
      <c r="G182" s="2816"/>
      <c r="H182" s="2817">
        <f t="shared" ref="H182:H184" si="15">IF(ISERROR((E182-F182)/F182),0,((E182-F182)/F182))</f>
        <v>0</v>
      </c>
      <c r="I182" s="2818"/>
      <c r="J182" s="809"/>
    </row>
    <row r="183" spans="1:10" s="467" customFormat="1" ht="30.75" customHeight="1" x14ac:dyDescent="0.35">
      <c r="A183" s="939"/>
      <c r="B183" s="1038">
        <f>B182+1</f>
        <v>2</v>
      </c>
      <c r="C183" s="2819" t="s">
        <v>2009</v>
      </c>
      <c r="D183" s="2820"/>
      <c r="E183" s="1042">
        <v>0</v>
      </c>
      <c r="F183" s="2821">
        <v>0</v>
      </c>
      <c r="G183" s="2822"/>
      <c r="H183" s="2823">
        <f t="shared" si="15"/>
        <v>0</v>
      </c>
      <c r="I183" s="2824"/>
      <c r="J183" s="809"/>
    </row>
    <row r="184" spans="1:10" s="467" customFormat="1" x14ac:dyDescent="0.35">
      <c r="A184" s="939"/>
      <c r="B184" s="1033"/>
      <c r="C184" s="2355" t="s">
        <v>116</v>
      </c>
      <c r="D184" s="2356"/>
      <c r="E184" s="1034">
        <f>SUM(E182:E183)</f>
        <v>0</v>
      </c>
      <c r="F184" s="2807">
        <f>SUM(F182:G183)</f>
        <v>0</v>
      </c>
      <c r="G184" s="2808"/>
      <c r="H184" s="2807">
        <f t="shared" si="15"/>
        <v>0</v>
      </c>
      <c r="I184" s="2809"/>
      <c r="J184" s="809"/>
    </row>
    <row r="185" spans="1:10" s="467" customFormat="1" x14ac:dyDescent="0.35">
      <c r="A185" s="939"/>
      <c r="B185" s="720"/>
      <c r="C185" s="720"/>
      <c r="D185" s="720"/>
      <c r="E185" s="720"/>
      <c r="F185" s="720"/>
      <c r="G185" s="720"/>
      <c r="H185" s="720"/>
      <c r="I185" s="720"/>
      <c r="J185" s="809"/>
    </row>
    <row r="186" spans="1:10" s="467" customFormat="1" x14ac:dyDescent="0.35">
      <c r="A186" s="1489"/>
      <c r="B186" s="720"/>
      <c r="C186" s="720"/>
      <c r="D186" s="720"/>
      <c r="E186" s="720"/>
      <c r="F186" s="720"/>
      <c r="G186" s="720"/>
      <c r="H186" s="720"/>
      <c r="I186" s="720"/>
      <c r="J186" s="809"/>
    </row>
    <row r="187" spans="1:10" s="467" customFormat="1" x14ac:dyDescent="0.35">
      <c r="A187" s="1489"/>
      <c r="B187" s="720"/>
      <c r="C187" s="720"/>
      <c r="D187" s="720"/>
      <c r="E187" s="720"/>
      <c r="F187" s="720"/>
      <c r="G187" s="720"/>
      <c r="H187" s="720"/>
      <c r="I187" s="720"/>
      <c r="J187" s="809"/>
    </row>
    <row r="188" spans="1:10" s="467" customFormat="1" x14ac:dyDescent="0.3">
      <c r="A188" s="2508" t="str">
        <f>"Surplus/Defisit dari Kegiatan Non Operasional "&amp;TEXT($E$201,"Rp#.##0")</f>
        <v>Surplus/Defisit dari Kegiatan Non Operasional Rp3.230.099</v>
      </c>
      <c r="B188" s="902" t="s">
        <v>2170</v>
      </c>
      <c r="C188" s="738"/>
      <c r="D188" s="738"/>
      <c r="E188" s="738"/>
      <c r="F188" s="738"/>
      <c r="G188" s="738"/>
      <c r="H188" s="738"/>
      <c r="I188" s="738"/>
      <c r="J188" s="809"/>
    </row>
    <row r="189" spans="1:10" s="467" customFormat="1" ht="15.75" hidden="1" customHeight="1" x14ac:dyDescent="0.3">
      <c r="A189" s="2508"/>
      <c r="B189" s="720"/>
      <c r="C189" s="904"/>
      <c r="D189" s="904"/>
      <c r="E189" s="904"/>
      <c r="F189" s="904"/>
      <c r="G189" s="904"/>
      <c r="H189" s="904"/>
      <c r="I189" s="904"/>
      <c r="J189" s="809"/>
    </row>
    <row r="190" spans="1:10" s="467" customFormat="1" ht="15.75" customHeight="1" x14ac:dyDescent="0.35">
      <c r="A190" s="2508"/>
      <c r="B190" s="2192" t="str">
        <f>"Pos Surplus dari Kegiatan Non Operasional terdiri dari pendapatan dan beban yang sifatnya tidak rutin dan bukan merupakan tugas pokok dan fungsi entitas. Surplus dari Kegiatan Non Operasional Tahun "&amp;Input!$Y$24&amp;" dan "&amp;Input!$Y$25&amp;" adalah sebagai berikut:"</f>
        <v>Pos Surplus dari Kegiatan Non Operasional terdiri dari pendapatan dan beban yang sifatnya tidak rutin dan bukan merupakan tugas pokok dan fungsi entitas. Surplus dari Kegiatan Non Operasional Tahun 2019 dan 2018 adalah sebagai berikut:</v>
      </c>
      <c r="C190" s="2192"/>
      <c r="D190" s="2192"/>
      <c r="E190" s="2192"/>
      <c r="F190" s="2192"/>
      <c r="G190" s="2192"/>
      <c r="H190" s="2192"/>
      <c r="I190" s="2192"/>
      <c r="J190" s="809"/>
    </row>
    <row r="191" spans="1:10" s="467" customFormat="1" x14ac:dyDescent="0.35">
      <c r="A191" s="2508"/>
      <c r="B191" s="2192"/>
      <c r="C191" s="2192"/>
      <c r="D191" s="2192"/>
      <c r="E191" s="2192"/>
      <c r="F191" s="2192"/>
      <c r="G191" s="2192"/>
      <c r="H191" s="2192"/>
      <c r="I191" s="2192"/>
      <c r="J191" s="809"/>
    </row>
    <row r="192" spans="1:10" s="467" customFormat="1" x14ac:dyDescent="0.35">
      <c r="A192" s="2508"/>
      <c r="B192" s="2192"/>
      <c r="C192" s="2192"/>
      <c r="D192" s="2192"/>
      <c r="E192" s="2192"/>
      <c r="F192" s="2192"/>
      <c r="G192" s="2192"/>
      <c r="H192" s="2192"/>
      <c r="I192" s="2192"/>
      <c r="J192" s="809"/>
    </row>
    <row r="193" spans="1:10" s="467" customFormat="1" x14ac:dyDescent="0.35">
      <c r="A193" s="1054"/>
      <c r="B193" s="844"/>
      <c r="C193" s="844"/>
      <c r="D193" s="844"/>
      <c r="E193" s="844"/>
      <c r="F193" s="844"/>
      <c r="G193" s="844"/>
      <c r="H193" s="844"/>
      <c r="I193" s="844"/>
      <c r="J193" s="809"/>
    </row>
    <row r="194" spans="1:10" s="467" customFormat="1" x14ac:dyDescent="0.35">
      <c r="A194" s="1054"/>
      <c r="B194" s="2800" t="str">
        <f>"Rincian Kegiatan Non Operasional "&amp;Input!$M$24&amp;" dan "&amp;Input!$Y$25&amp;" "</f>
        <v xml:space="preserve">Rincian Kegiatan Non Operasional 31 Desember 2019 dan 2018 </v>
      </c>
      <c r="C194" s="2800"/>
      <c r="D194" s="2800"/>
      <c r="E194" s="2800"/>
      <c r="F194" s="2800"/>
      <c r="G194" s="2800"/>
      <c r="H194" s="2800"/>
      <c r="I194" s="2800"/>
      <c r="J194" s="809"/>
    </row>
    <row r="195" spans="1:10" s="467" customFormat="1" ht="45" customHeight="1" x14ac:dyDescent="0.35">
      <c r="A195" s="939"/>
      <c r="B195" s="981" t="s">
        <v>133</v>
      </c>
      <c r="C195" s="2510" t="s">
        <v>45</v>
      </c>
      <c r="D195" s="2511"/>
      <c r="E195" s="934" t="str">
        <f>Input!$M$24</f>
        <v>31 Desember 2019</v>
      </c>
      <c r="F195" s="2540" t="str">
        <f>Input!$M$25</f>
        <v>31 Desember 2018</v>
      </c>
      <c r="G195" s="2541"/>
      <c r="H195" s="2609" t="s">
        <v>1785</v>
      </c>
      <c r="I195" s="2611"/>
      <c r="J195" s="809"/>
    </row>
    <row r="196" spans="1:10" s="467" customFormat="1" x14ac:dyDescent="0.35">
      <c r="A196" s="939"/>
      <c r="B196" s="1396">
        <v>1</v>
      </c>
      <c r="C196" s="2801" t="s">
        <v>2065</v>
      </c>
      <c r="D196" s="2802"/>
      <c r="E196" s="1397">
        <f>Input!L37</f>
        <v>1799999</v>
      </c>
      <c r="F196" s="2796">
        <f>Input!M37</f>
        <v>48000000</v>
      </c>
      <c r="G196" s="2810">
        <v>13443249</v>
      </c>
      <c r="H196" s="2798">
        <f t="shared" ref="H196:H201" si="16">IF(ISERROR((E196-F196)/F196),0,((E196-F196)/F196))</f>
        <v>-0.9625000208333333</v>
      </c>
      <c r="I196" s="2799"/>
      <c r="J196" s="809"/>
    </row>
    <row r="197" spans="1:10" s="467" customFormat="1" x14ac:dyDescent="0.35">
      <c r="A197" s="1483"/>
      <c r="B197" s="1396"/>
      <c r="C197" s="1486" t="s">
        <v>2415</v>
      </c>
      <c r="D197" s="1487"/>
      <c r="E197" s="1397"/>
      <c r="F197" s="2811">
        <v>-2837313</v>
      </c>
      <c r="G197" s="2812"/>
      <c r="H197" s="1484"/>
      <c r="I197" s="1485"/>
      <c r="J197" s="809"/>
    </row>
    <row r="198" spans="1:10" s="467" customFormat="1" ht="31.5" customHeight="1" x14ac:dyDescent="0.35">
      <c r="A198" s="939"/>
      <c r="B198" s="1396">
        <v>2</v>
      </c>
      <c r="C198" s="2794" t="s">
        <v>2066</v>
      </c>
      <c r="D198" s="2795"/>
      <c r="E198" s="1397">
        <v>0</v>
      </c>
      <c r="F198" s="2796">
        <v>0</v>
      </c>
      <c r="G198" s="2797">
        <v>0</v>
      </c>
      <c r="H198" s="2798">
        <f t="shared" si="16"/>
        <v>0</v>
      </c>
      <c r="I198" s="2799"/>
      <c r="J198" s="809"/>
    </row>
    <row r="199" spans="1:10" s="467" customFormat="1" ht="31.5" customHeight="1" x14ac:dyDescent="0.35">
      <c r="A199" s="1483"/>
      <c r="B199" s="1396">
        <v>3</v>
      </c>
      <c r="C199" s="2755" t="s">
        <v>2414</v>
      </c>
      <c r="D199" s="2756"/>
      <c r="E199" s="1397">
        <f>Input!L36</f>
        <v>1500000</v>
      </c>
      <c r="F199" s="2811">
        <v>7000</v>
      </c>
      <c r="G199" s="2812"/>
      <c r="H199" s="1484"/>
      <c r="I199" s="1485"/>
      <c r="J199" s="809"/>
    </row>
    <row r="200" spans="1:10" s="467" customFormat="1" ht="30.75" customHeight="1" x14ac:dyDescent="0.35">
      <c r="A200" s="939"/>
      <c r="B200" s="1396">
        <v>4</v>
      </c>
      <c r="C200" s="2794" t="s">
        <v>2067</v>
      </c>
      <c r="D200" s="2795"/>
      <c r="E200" s="1397">
        <v>-69900</v>
      </c>
      <c r="F200" s="2796">
        <v>-69600</v>
      </c>
      <c r="G200" s="2797">
        <v>-216000</v>
      </c>
      <c r="H200" s="2798">
        <f t="shared" si="16"/>
        <v>4.3103448275862068E-3</v>
      </c>
      <c r="I200" s="2799"/>
      <c r="J200" s="809"/>
    </row>
    <row r="201" spans="1:10" s="467" customFormat="1" x14ac:dyDescent="0.35">
      <c r="A201" s="939"/>
      <c r="B201" s="1040"/>
      <c r="C201" s="2803" t="s">
        <v>1825</v>
      </c>
      <c r="D201" s="2804"/>
      <c r="E201" s="975">
        <f>SUM(E196:E200)</f>
        <v>3230099</v>
      </c>
      <c r="F201" s="2791">
        <f>F196+F197+F198+F199+F200</f>
        <v>45100087</v>
      </c>
      <c r="G201" s="2792"/>
      <c r="H201" s="2805">
        <f t="shared" si="16"/>
        <v>-0.92837931776051785</v>
      </c>
      <c r="I201" s="2806"/>
      <c r="J201" s="809"/>
    </row>
    <row r="202" spans="1:10" s="467" customFormat="1" x14ac:dyDescent="0.35">
      <c r="A202" s="939"/>
      <c r="B202" s="720"/>
      <c r="C202" s="720"/>
      <c r="D202" s="720"/>
      <c r="E202" s="720"/>
      <c r="F202" s="720"/>
      <c r="G202" s="720"/>
      <c r="H202" s="720"/>
      <c r="I202" s="720"/>
      <c r="J202" s="809"/>
    </row>
    <row r="203" spans="1:10" s="467" customFormat="1" x14ac:dyDescent="0.3">
      <c r="A203" s="2508" t="str">
        <f>"Pos Luar Biasa "&amp;TEXT($E$214,"Rp#.##0")</f>
        <v>Pos Luar Biasa Rp0</v>
      </c>
      <c r="B203" s="902" t="s">
        <v>2259</v>
      </c>
      <c r="C203" s="738"/>
      <c r="D203" s="738"/>
      <c r="E203" s="738"/>
      <c r="F203" s="738"/>
      <c r="G203" s="738"/>
      <c r="H203" s="738"/>
      <c r="I203" s="738"/>
      <c r="J203" s="809"/>
    </row>
    <row r="204" spans="1:10" s="467" customFormat="1" ht="15.75" hidden="1" customHeight="1" x14ac:dyDescent="0.3">
      <c r="A204" s="2508"/>
      <c r="B204" s="720"/>
      <c r="C204" s="904"/>
      <c r="D204" s="904"/>
      <c r="E204" s="904"/>
      <c r="F204" s="904"/>
      <c r="G204" s="904"/>
      <c r="H204" s="904"/>
      <c r="I204" s="904"/>
      <c r="J204" s="809"/>
    </row>
    <row r="205" spans="1:10" s="467" customFormat="1" ht="15.75" customHeight="1" x14ac:dyDescent="0.35">
      <c r="A205" s="2508"/>
      <c r="B205" s="2192" t="str">
        <f>"Pos Luar Biasa terdiri dari pendapatan dan beban yang sifatnya tidak sering terjadi, tidak dapat diramalkan dan berada di luar kendali entitas. Rincian Pos Luar Biasa untuk Tahun "&amp;Input!$Y$24&amp;" dan "&amp;Input!$Y$25&amp;" adalah sebagai berikut :"</f>
        <v>Pos Luar Biasa terdiri dari pendapatan dan beban yang sifatnya tidak sering terjadi, tidak dapat diramalkan dan berada di luar kendali entitas. Rincian Pos Luar Biasa untuk Tahun 2019 dan 2018 adalah sebagai berikut :</v>
      </c>
      <c r="C205" s="2192"/>
      <c r="D205" s="2192"/>
      <c r="E205" s="2192"/>
      <c r="F205" s="2192"/>
      <c r="G205" s="2192"/>
      <c r="H205" s="2192"/>
      <c r="I205" s="2192"/>
      <c r="J205" s="809"/>
    </row>
    <row r="206" spans="1:10" s="467" customFormat="1" x14ac:dyDescent="0.35">
      <c r="A206" s="2508"/>
      <c r="B206" s="2192"/>
      <c r="C206" s="2192"/>
      <c r="D206" s="2192"/>
      <c r="E206" s="2192"/>
      <c r="F206" s="2192"/>
      <c r="G206" s="2192"/>
      <c r="H206" s="2192"/>
      <c r="I206" s="2192"/>
      <c r="J206" s="809"/>
    </row>
    <row r="207" spans="1:10" s="467" customFormat="1" x14ac:dyDescent="0.35">
      <c r="A207" s="2508"/>
      <c r="B207" s="2192"/>
      <c r="C207" s="2192"/>
      <c r="D207" s="2192"/>
      <c r="E207" s="2192"/>
      <c r="F207" s="2192"/>
      <c r="G207" s="2192"/>
      <c r="H207" s="2192"/>
      <c r="I207" s="2192"/>
      <c r="J207" s="809"/>
    </row>
    <row r="208" spans="1:10" s="467" customFormat="1" x14ac:dyDescent="0.35">
      <c r="A208" s="2508"/>
      <c r="B208" s="844"/>
      <c r="C208" s="844"/>
      <c r="D208" s="844"/>
      <c r="E208" s="844"/>
      <c r="F208" s="844"/>
      <c r="G208" s="844"/>
      <c r="H208" s="844"/>
      <c r="I208" s="844"/>
      <c r="J208" s="809"/>
    </row>
    <row r="209" spans="1:10" s="467" customFormat="1" x14ac:dyDescent="0.35">
      <c r="A209" s="2508"/>
      <c r="B209" s="2800" t="str">
        <f>"Rincian Pos Luar Biasa "&amp;Input!$M$24&amp;" dan "&amp;Input!$Y$25&amp;" "</f>
        <v xml:space="preserve">Rincian Pos Luar Biasa 31 Desember 2019 dan 2018 </v>
      </c>
      <c r="C209" s="2800"/>
      <c r="D209" s="2800"/>
      <c r="E209" s="2800"/>
      <c r="F209" s="2800"/>
      <c r="G209" s="2800"/>
      <c r="H209" s="2800"/>
      <c r="I209" s="2800"/>
      <c r="J209" s="809"/>
    </row>
    <row r="210" spans="1:10" s="467" customFormat="1" ht="44.25" customHeight="1" x14ac:dyDescent="0.35">
      <c r="A210" s="939"/>
      <c r="B210" s="981" t="s">
        <v>133</v>
      </c>
      <c r="C210" s="2510" t="s">
        <v>45</v>
      </c>
      <c r="D210" s="2511"/>
      <c r="E210" s="934" t="str">
        <f>Input!$M$24</f>
        <v>31 Desember 2019</v>
      </c>
      <c r="F210" s="2540" t="str">
        <f>Input!$M$25</f>
        <v>31 Desember 2018</v>
      </c>
      <c r="G210" s="2541"/>
      <c r="H210" s="2609" t="s">
        <v>1785</v>
      </c>
      <c r="I210" s="2611"/>
      <c r="J210" s="809"/>
    </row>
    <row r="211" spans="1:10" s="467" customFormat="1" x14ac:dyDescent="0.35">
      <c r="A211" s="939"/>
      <c r="B211" s="919">
        <v>1</v>
      </c>
      <c r="C211" s="2759" t="s">
        <v>1826</v>
      </c>
      <c r="D211" s="2760"/>
      <c r="E211" s="1041">
        <v>0</v>
      </c>
      <c r="F211" s="2787">
        <v>0</v>
      </c>
      <c r="G211" s="2788"/>
      <c r="H211" s="2789">
        <f t="shared" ref="H211:H214" si="17">IF(ISERROR((E211-F211)/F211),0,((E211-F211)/F211))</f>
        <v>0</v>
      </c>
      <c r="I211" s="2790"/>
      <c r="J211" s="809"/>
    </row>
    <row r="212" spans="1:10" s="467" customFormat="1" x14ac:dyDescent="0.35">
      <c r="A212" s="939"/>
      <c r="B212" s="919">
        <v>2</v>
      </c>
      <c r="C212" s="2759" t="s">
        <v>1242</v>
      </c>
      <c r="D212" s="2760"/>
      <c r="E212" s="1041">
        <v>0</v>
      </c>
      <c r="F212" s="2787">
        <v>0</v>
      </c>
      <c r="G212" s="2788"/>
      <c r="H212" s="2789">
        <f t="shared" si="17"/>
        <v>0</v>
      </c>
      <c r="I212" s="2790"/>
      <c r="J212" s="809"/>
    </row>
    <row r="213" spans="1:10" s="467" customFormat="1" x14ac:dyDescent="0.35">
      <c r="A213" s="939"/>
      <c r="B213" s="919">
        <v>3</v>
      </c>
      <c r="C213" s="2759" t="s">
        <v>1240</v>
      </c>
      <c r="D213" s="2760"/>
      <c r="E213" s="1041">
        <v>0</v>
      </c>
      <c r="F213" s="2787">
        <v>0</v>
      </c>
      <c r="G213" s="2788"/>
      <c r="H213" s="2789">
        <f t="shared" si="17"/>
        <v>0</v>
      </c>
      <c r="I213" s="2790"/>
      <c r="J213" s="809"/>
    </row>
    <row r="214" spans="1:10" s="467" customFormat="1" x14ac:dyDescent="0.35">
      <c r="A214" s="939"/>
      <c r="B214" s="1040"/>
      <c r="C214" s="2272" t="s">
        <v>116</v>
      </c>
      <c r="D214" s="2273"/>
      <c r="E214" s="975">
        <f>SUM(E211:E213)</f>
        <v>0</v>
      </c>
      <c r="F214" s="2791">
        <f>SUM(F211:G213)</f>
        <v>0</v>
      </c>
      <c r="G214" s="2792"/>
      <c r="H214" s="2791">
        <f t="shared" si="17"/>
        <v>0</v>
      </c>
      <c r="I214" s="2793"/>
      <c r="J214" s="809"/>
    </row>
    <row r="215" spans="1:10" s="467" customFormat="1" x14ac:dyDescent="0.35">
      <c r="A215" s="939"/>
      <c r="B215" s="720"/>
      <c r="C215" s="720"/>
      <c r="D215" s="720"/>
      <c r="E215" s="720"/>
      <c r="F215" s="720"/>
      <c r="G215" s="720"/>
      <c r="H215" s="720"/>
      <c r="I215" s="720"/>
      <c r="J215" s="809"/>
    </row>
    <row r="216" spans="1:10" s="467" customFormat="1" x14ac:dyDescent="0.35">
      <c r="A216" s="470"/>
      <c r="J216" s="209"/>
    </row>
    <row r="217" spans="1:10" s="467" customFormat="1" x14ac:dyDescent="0.35">
      <c r="A217" s="470"/>
      <c r="J217" s="209"/>
    </row>
    <row r="218" spans="1:10" s="467" customFormat="1" x14ac:dyDescent="0.35">
      <c r="A218" s="470"/>
      <c r="J218" s="209"/>
    </row>
    <row r="219" spans="1:10" s="467" customFormat="1" x14ac:dyDescent="0.35">
      <c r="A219" s="470"/>
      <c r="J219" s="209"/>
    </row>
    <row r="220" spans="1:10" s="467" customFormat="1" x14ac:dyDescent="0.35">
      <c r="A220" s="470"/>
      <c r="J220" s="209"/>
    </row>
    <row r="221" spans="1:10" s="467" customFormat="1" x14ac:dyDescent="0.35">
      <c r="A221" s="470"/>
      <c r="J221" s="209"/>
    </row>
    <row r="222" spans="1:10" s="467" customFormat="1" x14ac:dyDescent="0.35">
      <c r="A222" s="470"/>
      <c r="J222" s="209"/>
    </row>
    <row r="223" spans="1:10" s="467" customFormat="1" x14ac:dyDescent="0.35">
      <c r="A223" s="470"/>
      <c r="J223" s="209"/>
    </row>
    <row r="224" spans="1:10" s="467" customFormat="1" x14ac:dyDescent="0.35">
      <c r="A224" s="470"/>
      <c r="J224" s="209"/>
    </row>
    <row r="225" spans="1:10" s="467" customFormat="1" x14ac:dyDescent="0.35">
      <c r="A225" s="470"/>
      <c r="J225" s="209"/>
    </row>
    <row r="226" spans="1:10" s="467" customFormat="1" x14ac:dyDescent="0.35">
      <c r="A226" s="470"/>
      <c r="J226" s="209"/>
    </row>
    <row r="227" spans="1:10" s="467" customFormat="1" x14ac:dyDescent="0.35">
      <c r="A227" s="470"/>
      <c r="J227" s="209"/>
    </row>
    <row r="228" spans="1:10" s="467" customFormat="1" x14ac:dyDescent="0.35">
      <c r="A228" s="470"/>
      <c r="J228" s="209"/>
    </row>
    <row r="229" spans="1:10" s="467" customFormat="1" x14ac:dyDescent="0.35">
      <c r="A229" s="470"/>
      <c r="J229" s="209"/>
    </row>
    <row r="230" spans="1:10" s="467" customFormat="1" x14ac:dyDescent="0.35">
      <c r="A230" s="470"/>
      <c r="J230" s="209"/>
    </row>
    <row r="231" spans="1:10" s="467" customFormat="1" x14ac:dyDescent="0.35">
      <c r="A231" s="470"/>
      <c r="J231" s="209"/>
    </row>
    <row r="232" spans="1:10" s="467" customFormat="1" x14ac:dyDescent="0.35">
      <c r="A232" s="470"/>
      <c r="J232" s="209"/>
    </row>
    <row r="233" spans="1:10" s="467" customFormat="1" x14ac:dyDescent="0.35">
      <c r="A233" s="470"/>
      <c r="J233" s="209"/>
    </row>
    <row r="234" spans="1:10" s="467" customFormat="1" x14ac:dyDescent="0.35">
      <c r="A234" s="470"/>
      <c r="J234" s="209"/>
    </row>
    <row r="235" spans="1:10" s="467" customFormat="1" x14ac:dyDescent="0.35">
      <c r="A235" s="470"/>
      <c r="J235" s="209"/>
    </row>
    <row r="236" spans="1:10" s="467" customFormat="1" x14ac:dyDescent="0.35">
      <c r="A236" s="470"/>
      <c r="J236" s="209"/>
    </row>
    <row r="237" spans="1:10" s="467" customFormat="1" x14ac:dyDescent="0.35">
      <c r="A237" s="470"/>
      <c r="J237" s="209"/>
    </row>
    <row r="238" spans="1:10" s="467" customFormat="1" x14ac:dyDescent="0.35">
      <c r="A238" s="470"/>
      <c r="J238" s="209"/>
    </row>
    <row r="239" spans="1:10" s="467" customFormat="1" x14ac:dyDescent="0.35">
      <c r="A239" s="470"/>
      <c r="J239" s="209"/>
    </row>
    <row r="240" spans="1:10" s="467" customFormat="1" x14ac:dyDescent="0.35">
      <c r="A240" s="470"/>
      <c r="J240" s="209"/>
    </row>
    <row r="241" spans="1:10" s="467" customFormat="1" x14ac:dyDescent="0.35">
      <c r="A241" s="470"/>
      <c r="J241" s="209"/>
    </row>
    <row r="242" spans="1:10" s="467" customFormat="1" x14ac:dyDescent="0.35">
      <c r="A242" s="470"/>
      <c r="J242" s="209"/>
    </row>
    <row r="243" spans="1:10" s="467" customFormat="1" x14ac:dyDescent="0.35">
      <c r="A243" s="470"/>
      <c r="J243" s="209"/>
    </row>
    <row r="244" spans="1:10" s="467" customFormat="1" x14ac:dyDescent="0.35">
      <c r="A244" s="470"/>
      <c r="J244" s="209"/>
    </row>
    <row r="245" spans="1:10" s="467" customFormat="1" x14ac:dyDescent="0.35">
      <c r="A245" s="470"/>
      <c r="J245" s="209"/>
    </row>
    <row r="246" spans="1:10" s="467" customFormat="1" x14ac:dyDescent="0.35">
      <c r="A246" s="470"/>
      <c r="J246" s="209"/>
    </row>
    <row r="247" spans="1:10" s="467" customFormat="1" x14ac:dyDescent="0.35">
      <c r="A247" s="470"/>
      <c r="J247" s="209"/>
    </row>
    <row r="248" spans="1:10" s="467" customFormat="1" x14ac:dyDescent="0.35">
      <c r="A248" s="470"/>
      <c r="J248" s="209"/>
    </row>
    <row r="249" spans="1:10" s="467" customFormat="1" x14ac:dyDescent="0.35">
      <c r="A249" s="470"/>
      <c r="J249" s="209"/>
    </row>
    <row r="250" spans="1:10" s="467" customFormat="1" x14ac:dyDescent="0.35">
      <c r="A250" s="470"/>
      <c r="J250" s="209"/>
    </row>
    <row r="251" spans="1:10" x14ac:dyDescent="0.35">
      <c r="A251" s="459"/>
      <c r="B251" s="457"/>
      <c r="C251" s="457"/>
      <c r="D251" s="457"/>
      <c r="E251" s="457"/>
      <c r="F251" s="457"/>
      <c r="G251" s="457"/>
      <c r="H251" s="457"/>
      <c r="I251" s="457"/>
      <c r="J251" s="46"/>
    </row>
    <row r="252" spans="1:10" x14ac:dyDescent="0.35">
      <c r="A252" s="459"/>
      <c r="B252" s="457"/>
      <c r="C252" s="457"/>
      <c r="D252" s="457"/>
      <c r="E252" s="457"/>
      <c r="F252" s="457"/>
      <c r="G252" s="457"/>
      <c r="H252" s="457"/>
      <c r="I252" s="457"/>
      <c r="J252" s="46"/>
    </row>
    <row r="253" spans="1:10" x14ac:dyDescent="0.35">
      <c r="A253" s="459"/>
      <c r="B253" s="457"/>
      <c r="C253" s="457"/>
      <c r="D253" s="457"/>
      <c r="E253" s="457"/>
      <c r="F253" s="457"/>
      <c r="G253" s="457"/>
      <c r="H253" s="457"/>
      <c r="I253" s="457"/>
      <c r="J253" s="46"/>
    </row>
    <row r="254" spans="1:10" x14ac:dyDescent="0.35">
      <c r="A254" s="459"/>
      <c r="B254" s="457"/>
      <c r="C254" s="457"/>
      <c r="D254" s="457"/>
      <c r="E254" s="457"/>
      <c r="F254" s="457"/>
      <c r="G254" s="457"/>
      <c r="H254" s="457"/>
      <c r="I254" s="457"/>
      <c r="J254" s="46"/>
    </row>
    <row r="255" spans="1:10" x14ac:dyDescent="0.35">
      <c r="A255" s="459"/>
      <c r="B255" s="457"/>
      <c r="C255" s="457"/>
      <c r="D255" s="457"/>
      <c r="E255" s="457"/>
      <c r="F255" s="457"/>
      <c r="G255" s="457"/>
      <c r="H255" s="457"/>
      <c r="I255" s="457"/>
      <c r="J255" s="46"/>
    </row>
  </sheetData>
  <mergeCells count="295">
    <mergeCell ref="H86:I86"/>
    <mergeCell ref="H85:I85"/>
    <mergeCell ref="C78:D78"/>
    <mergeCell ref="H78:I78"/>
    <mergeCell ref="C76:D76"/>
    <mergeCell ref="F76:G76"/>
    <mergeCell ref="H76:I76"/>
    <mergeCell ref="C87:D87"/>
    <mergeCell ref="H38:I38"/>
    <mergeCell ref="B39:D39"/>
    <mergeCell ref="F39:G39"/>
    <mergeCell ref="H39:I39"/>
    <mergeCell ref="H69:I69"/>
    <mergeCell ref="C70:D70"/>
    <mergeCell ref="H73:I73"/>
    <mergeCell ref="F72:G72"/>
    <mergeCell ref="F71:G71"/>
    <mergeCell ref="H71:I71"/>
    <mergeCell ref="H87:I87"/>
    <mergeCell ref="B47:I50"/>
    <mergeCell ref="B52:I52"/>
    <mergeCell ref="F43:G43"/>
    <mergeCell ref="H43:I43"/>
    <mergeCell ref="B128:I128"/>
    <mergeCell ref="B30:D30"/>
    <mergeCell ref="B31:D31"/>
    <mergeCell ref="B32:D32"/>
    <mergeCell ref="B41:D41"/>
    <mergeCell ref="B42:D42"/>
    <mergeCell ref="B43:D43"/>
    <mergeCell ref="B53:D53"/>
    <mergeCell ref="B54:D54"/>
    <mergeCell ref="B56:D56"/>
    <mergeCell ref="B55:D55"/>
    <mergeCell ref="F82:G82"/>
    <mergeCell ref="H82:I82"/>
    <mergeCell ref="H72:I72"/>
    <mergeCell ref="H70:I70"/>
    <mergeCell ref="C69:D69"/>
    <mergeCell ref="F69:G69"/>
    <mergeCell ref="H56:I56"/>
    <mergeCell ref="C75:D75"/>
    <mergeCell ref="F75:G75"/>
    <mergeCell ref="H75:I75"/>
    <mergeCell ref="H84:I84"/>
    <mergeCell ref="B95:I95"/>
    <mergeCell ref="B38:D38"/>
    <mergeCell ref="A188:A192"/>
    <mergeCell ref="A203:A209"/>
    <mergeCell ref="A5:A9"/>
    <mergeCell ref="A20:A24"/>
    <mergeCell ref="A45:A52"/>
    <mergeCell ref="A59:A62"/>
    <mergeCell ref="A89:A96"/>
    <mergeCell ref="A105:A112"/>
    <mergeCell ref="A121:A127"/>
    <mergeCell ref="A137:A141"/>
    <mergeCell ref="A151:A154"/>
    <mergeCell ref="A173:A177"/>
    <mergeCell ref="F30:G30"/>
    <mergeCell ref="H30:I30"/>
    <mergeCell ref="F14:G14"/>
    <mergeCell ref="H14:I14"/>
    <mergeCell ref="F42:G42"/>
    <mergeCell ref="H42:I42"/>
    <mergeCell ref="B29:I29"/>
    <mergeCell ref="B22:I27"/>
    <mergeCell ref="C14:D14"/>
    <mergeCell ref="B33:D33"/>
    <mergeCell ref="F33:G33"/>
    <mergeCell ref="H33:I33"/>
    <mergeCell ref="B34:D34"/>
    <mergeCell ref="F34:G34"/>
    <mergeCell ref="H34:I34"/>
    <mergeCell ref="B35:D35"/>
    <mergeCell ref="F35:G35"/>
    <mergeCell ref="H35:I35"/>
    <mergeCell ref="B40:D40"/>
    <mergeCell ref="F40:G40"/>
    <mergeCell ref="H40:I40"/>
    <mergeCell ref="B37:D37"/>
    <mergeCell ref="F37:G37"/>
    <mergeCell ref="H37:I37"/>
    <mergeCell ref="A1:I1"/>
    <mergeCell ref="C11:D11"/>
    <mergeCell ref="F11:G11"/>
    <mergeCell ref="H11:I11"/>
    <mergeCell ref="B7:I8"/>
    <mergeCell ref="C12:D12"/>
    <mergeCell ref="C13:D13"/>
    <mergeCell ref="H12:I12"/>
    <mergeCell ref="B10:I10"/>
    <mergeCell ref="F12:G12"/>
    <mergeCell ref="F13:G13"/>
    <mergeCell ref="H13:I13"/>
    <mergeCell ref="F32:G32"/>
    <mergeCell ref="H32:I32"/>
    <mergeCell ref="F41:G41"/>
    <mergeCell ref="H41:I41"/>
    <mergeCell ref="F56:G56"/>
    <mergeCell ref="H79:I79"/>
    <mergeCell ref="B57:D57"/>
    <mergeCell ref="B61:I65"/>
    <mergeCell ref="C77:D77"/>
    <mergeCell ref="F77:G77"/>
    <mergeCell ref="H77:I77"/>
    <mergeCell ref="C74:D74"/>
    <mergeCell ref="F74:G74"/>
    <mergeCell ref="H74:I74"/>
    <mergeCell ref="B67:I67"/>
    <mergeCell ref="C68:D68"/>
    <mergeCell ref="F68:G68"/>
    <mergeCell ref="F36:G36"/>
    <mergeCell ref="F38:G38"/>
    <mergeCell ref="F73:G73"/>
    <mergeCell ref="F78:G78"/>
    <mergeCell ref="F31:G31"/>
    <mergeCell ref="H31:I31"/>
    <mergeCell ref="B16:I18"/>
    <mergeCell ref="B91:I94"/>
    <mergeCell ref="B96:I96"/>
    <mergeCell ref="C97:D97"/>
    <mergeCell ref="F97:G97"/>
    <mergeCell ref="H97:I97"/>
    <mergeCell ref="F53:G53"/>
    <mergeCell ref="H53:I53"/>
    <mergeCell ref="F54:G54"/>
    <mergeCell ref="H54:I54"/>
    <mergeCell ref="H68:I68"/>
    <mergeCell ref="F80:G80"/>
    <mergeCell ref="H80:I80"/>
    <mergeCell ref="F81:G81"/>
    <mergeCell ref="H81:I81"/>
    <mergeCell ref="C73:D73"/>
    <mergeCell ref="F83:G83"/>
    <mergeCell ref="F55:G55"/>
    <mergeCell ref="H55:I55"/>
    <mergeCell ref="F57:G57"/>
    <mergeCell ref="H57:I57"/>
    <mergeCell ref="F87:G87"/>
    <mergeCell ref="C98:D98"/>
    <mergeCell ref="F98:G98"/>
    <mergeCell ref="H98:I98"/>
    <mergeCell ref="C103:D103"/>
    <mergeCell ref="F103:G103"/>
    <mergeCell ref="H103:I103"/>
    <mergeCell ref="B107:I110"/>
    <mergeCell ref="B112:I112"/>
    <mergeCell ref="C99:D99"/>
    <mergeCell ref="F99:G99"/>
    <mergeCell ref="H99:I99"/>
    <mergeCell ref="C101:D101"/>
    <mergeCell ref="F101:G101"/>
    <mergeCell ref="H101:I101"/>
    <mergeCell ref="H100:I100"/>
    <mergeCell ref="F100:G100"/>
    <mergeCell ref="F102:G102"/>
    <mergeCell ref="C113:D113"/>
    <mergeCell ref="F113:G113"/>
    <mergeCell ref="H113:I113"/>
    <mergeCell ref="C114:D114"/>
    <mergeCell ref="F114:G114"/>
    <mergeCell ref="H114:I114"/>
    <mergeCell ref="C115:D115"/>
    <mergeCell ref="F115:G115"/>
    <mergeCell ref="H115:I115"/>
    <mergeCell ref="C117:D117"/>
    <mergeCell ref="F117:G117"/>
    <mergeCell ref="H117:I117"/>
    <mergeCell ref="C118:D118"/>
    <mergeCell ref="F118:G118"/>
    <mergeCell ref="H118:I118"/>
    <mergeCell ref="C116:D116"/>
    <mergeCell ref="F116:G116"/>
    <mergeCell ref="H116:I116"/>
    <mergeCell ref="B130:I130"/>
    <mergeCell ref="C131:D131"/>
    <mergeCell ref="F131:G131"/>
    <mergeCell ref="H131:I131"/>
    <mergeCell ref="C132:D132"/>
    <mergeCell ref="C149:D149"/>
    <mergeCell ref="F149:G149"/>
    <mergeCell ref="H149:I149"/>
    <mergeCell ref="C135:D135"/>
    <mergeCell ref="F135:G135"/>
    <mergeCell ref="H135:I135"/>
    <mergeCell ref="B139:I142"/>
    <mergeCell ref="B144:I144"/>
    <mergeCell ref="C145:D145"/>
    <mergeCell ref="F145:G145"/>
    <mergeCell ref="H145:I145"/>
    <mergeCell ref="C133:D133"/>
    <mergeCell ref="F133:G133"/>
    <mergeCell ref="H133:I133"/>
    <mergeCell ref="C134:D134"/>
    <mergeCell ref="F134:G134"/>
    <mergeCell ref="H134:I134"/>
    <mergeCell ref="F132:G132"/>
    <mergeCell ref="H132:I132"/>
    <mergeCell ref="B153:I158"/>
    <mergeCell ref="B160:I160"/>
    <mergeCell ref="C146:D146"/>
    <mergeCell ref="F146:G146"/>
    <mergeCell ref="H146:I146"/>
    <mergeCell ref="C147:D147"/>
    <mergeCell ref="F147:G147"/>
    <mergeCell ref="H147:I147"/>
    <mergeCell ref="C148:D148"/>
    <mergeCell ref="F148:G148"/>
    <mergeCell ref="H148:I148"/>
    <mergeCell ref="C161:D161"/>
    <mergeCell ref="F161:G161"/>
    <mergeCell ref="H161:I161"/>
    <mergeCell ref="C162:D162"/>
    <mergeCell ref="F162:G162"/>
    <mergeCell ref="H162:I162"/>
    <mergeCell ref="C163:D163"/>
    <mergeCell ref="F163:G163"/>
    <mergeCell ref="H163:I163"/>
    <mergeCell ref="C166:D166"/>
    <mergeCell ref="F166:G166"/>
    <mergeCell ref="H166:I166"/>
    <mergeCell ref="C167:D167"/>
    <mergeCell ref="F167:G167"/>
    <mergeCell ref="H167:I167"/>
    <mergeCell ref="C164:D164"/>
    <mergeCell ref="F164:G164"/>
    <mergeCell ref="H164:I164"/>
    <mergeCell ref="C165:D165"/>
    <mergeCell ref="F165:G165"/>
    <mergeCell ref="H165:I165"/>
    <mergeCell ref="C168:D168"/>
    <mergeCell ref="F168:G168"/>
    <mergeCell ref="H168:I168"/>
    <mergeCell ref="C169:D169"/>
    <mergeCell ref="F169:G169"/>
    <mergeCell ref="H169:I169"/>
    <mergeCell ref="C170:D170"/>
    <mergeCell ref="F170:G170"/>
    <mergeCell ref="H170:I170"/>
    <mergeCell ref="C182:D182"/>
    <mergeCell ref="F182:G182"/>
    <mergeCell ref="H182:I182"/>
    <mergeCell ref="C183:D183"/>
    <mergeCell ref="F183:G183"/>
    <mergeCell ref="H183:I183"/>
    <mergeCell ref="C171:D171"/>
    <mergeCell ref="F171:G171"/>
    <mergeCell ref="H171:I171"/>
    <mergeCell ref="B175:I178"/>
    <mergeCell ref="B180:I180"/>
    <mergeCell ref="C181:D181"/>
    <mergeCell ref="F181:G181"/>
    <mergeCell ref="H181:I181"/>
    <mergeCell ref="H184:I184"/>
    <mergeCell ref="F196:G196"/>
    <mergeCell ref="H196:I196"/>
    <mergeCell ref="C211:D211"/>
    <mergeCell ref="F211:G211"/>
    <mergeCell ref="H211:I211"/>
    <mergeCell ref="C212:D212"/>
    <mergeCell ref="F212:G212"/>
    <mergeCell ref="H212:I212"/>
    <mergeCell ref="B205:I207"/>
    <mergeCell ref="B209:I209"/>
    <mergeCell ref="C210:D210"/>
    <mergeCell ref="F210:G210"/>
    <mergeCell ref="H210:I210"/>
    <mergeCell ref="C199:D199"/>
    <mergeCell ref="F197:G197"/>
    <mergeCell ref="F199:G199"/>
    <mergeCell ref="B123:I127"/>
    <mergeCell ref="C214:D214"/>
    <mergeCell ref="C213:D213"/>
    <mergeCell ref="F213:G213"/>
    <mergeCell ref="H213:I213"/>
    <mergeCell ref="F214:G214"/>
    <mergeCell ref="H214:I214"/>
    <mergeCell ref="C198:D198"/>
    <mergeCell ref="F198:G198"/>
    <mergeCell ref="H198:I198"/>
    <mergeCell ref="C200:D200"/>
    <mergeCell ref="F200:G200"/>
    <mergeCell ref="H200:I200"/>
    <mergeCell ref="B190:I192"/>
    <mergeCell ref="B194:I194"/>
    <mergeCell ref="C195:D195"/>
    <mergeCell ref="F195:G195"/>
    <mergeCell ref="H195:I195"/>
    <mergeCell ref="C196:D196"/>
    <mergeCell ref="C201:D201"/>
    <mergeCell ref="F201:G201"/>
    <mergeCell ref="H201:I201"/>
    <mergeCell ref="C184:D184"/>
    <mergeCell ref="F184:G184"/>
  </mergeCells>
  <printOptions horizontalCentered="1"/>
  <pageMargins left="0.31496062992125984" right="0.23622047244094491" top="0.74803149606299213" bottom="0.86614173228346458" header="0.31496062992125984" footer="0.31496062992125984"/>
  <pageSetup paperSize="9" scale="85" firstPageNumber="36" fitToHeight="0" orientation="portrait" useFirstPageNumber="1" r:id="rId1"/>
  <headerFooter>
    <oddFooter>&amp;C&amp;"+,Bold Italic"&amp;K000099&amp;P</oddFooter>
  </headerFooter>
  <rowBreaks count="3" manualBreakCount="3">
    <brk id="50" max="9" man="1"/>
    <brk id="95" max="16383" man="1"/>
    <brk id="136" max="16383"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O139"/>
  <sheetViews>
    <sheetView view="pageBreakPreview" topLeftCell="A97" zoomScaleNormal="100" zoomScaleSheetLayoutView="100" workbookViewId="0">
      <selection activeCell="E91" sqref="E91"/>
    </sheetView>
  </sheetViews>
  <sheetFormatPr defaultColWidth="10" defaultRowHeight="15.5" x14ac:dyDescent="0.35"/>
  <cols>
    <col min="1" max="1" width="14.08203125" style="470" customWidth="1"/>
    <col min="2" max="2" width="3.83203125" style="465" customWidth="1"/>
    <col min="3" max="3" width="28.33203125" style="465" bestFit="1" customWidth="1"/>
    <col min="4" max="4" width="22.25" style="465" customWidth="1"/>
    <col min="5" max="5" width="17.5" style="465" customWidth="1"/>
    <col min="6" max="6" width="13.75" style="465" bestFit="1" customWidth="1"/>
    <col min="7" max="8" width="3.08203125" style="465" customWidth="1"/>
    <col min="9" max="9" width="6.08203125" style="465" customWidth="1"/>
    <col min="10" max="10" width="1.83203125" style="207" customWidth="1"/>
    <col min="11" max="11" width="9" style="465"/>
    <col min="12" max="12" width="6.83203125" style="468" customWidth="1"/>
    <col min="13" max="13" width="2.5" style="468" customWidth="1"/>
    <col min="14" max="16384" width="10" style="468"/>
  </cols>
  <sheetData>
    <row r="1" spans="1:11" x14ac:dyDescent="0.35">
      <c r="A1" s="2124" t="str">
        <f>'2 kata'!B1</f>
        <v>Laporan Keuangan Balai Pelestarian Nilai Budaya Bali Untuk Periode yang Berakhir 31 Desember 2019</v>
      </c>
      <c r="B1" s="2124"/>
      <c r="C1" s="2124"/>
      <c r="D1" s="2124"/>
      <c r="E1" s="2124"/>
      <c r="F1" s="2124"/>
      <c r="G1" s="2124"/>
      <c r="H1" s="2124"/>
      <c r="I1" s="2124"/>
      <c r="J1" s="309"/>
    </row>
    <row r="2" spans="1:11" x14ac:dyDescent="0.35">
      <c r="A2" s="265"/>
      <c r="B2" s="468"/>
      <c r="C2" s="468"/>
      <c r="D2" s="302"/>
      <c r="E2" s="302"/>
      <c r="F2" s="468"/>
      <c r="G2" s="468"/>
      <c r="H2" s="468"/>
      <c r="I2" s="468"/>
    </row>
    <row r="3" spans="1:11" ht="16.5" x14ac:dyDescent="0.35">
      <c r="A3" s="1051"/>
      <c r="B3" s="1063" t="s">
        <v>1827</v>
      </c>
      <c r="C3" s="738"/>
      <c r="D3" s="738"/>
      <c r="E3" s="738"/>
      <c r="F3" s="738"/>
      <c r="G3" s="738"/>
      <c r="H3" s="738"/>
      <c r="I3" s="738"/>
      <c r="J3" s="903"/>
    </row>
    <row r="4" spans="1:11" ht="6" customHeight="1" x14ac:dyDescent="0.35">
      <c r="A4" s="1051"/>
      <c r="B4" s="902"/>
      <c r="C4" s="738"/>
      <c r="D4" s="738"/>
      <c r="E4" s="738"/>
      <c r="F4" s="738"/>
      <c r="G4" s="738"/>
      <c r="H4" s="738"/>
      <c r="I4" s="738"/>
      <c r="J4" s="903"/>
    </row>
    <row r="5" spans="1:11" ht="15.75" customHeight="1" x14ac:dyDescent="0.35">
      <c r="A5" s="2508" t="str">
        <f>"Ekuitas Awal "&amp;TEXT(Input!$L$809,"Rp#.##0")</f>
        <v>Ekuitas Awal Rp23.189.043.788</v>
      </c>
      <c r="B5" s="902" t="s">
        <v>1832</v>
      </c>
      <c r="C5" s="738"/>
      <c r="D5" s="738"/>
      <c r="E5" s="738"/>
      <c r="F5" s="738"/>
      <c r="G5" s="738"/>
      <c r="H5" s="738"/>
      <c r="I5" s="738"/>
      <c r="J5" s="903"/>
    </row>
    <row r="6" spans="1:11" hidden="1" x14ac:dyDescent="0.35">
      <c r="A6" s="2508"/>
      <c r="B6" s="720"/>
      <c r="C6" s="904"/>
      <c r="D6" s="904"/>
      <c r="E6" s="904"/>
      <c r="F6" s="904"/>
      <c r="G6" s="904"/>
      <c r="H6" s="904"/>
      <c r="I6" s="904"/>
      <c r="J6" s="900"/>
    </row>
    <row r="7" spans="1:11" x14ac:dyDescent="0.35">
      <c r="A7" s="2508"/>
      <c r="B7" s="2192" t="str">
        <f>"Nilai ekuitas pada tanggal 1 Januari "&amp;Input!$Y$24&amp;" dan "&amp;Input!$M$25&amp;" adalah masing-masing sebesar "&amp;TEXT(Input!$L$809,"Rp#.##0")&amp;" dan "&amp;TEXT(Input!M$821,"Rp#.##0")&amp;"."</f>
        <v>Nilai ekuitas pada tanggal 1 Januari 2019 dan 31 Desember 2018 adalah masing-masing sebesar Rp23.189.043.788 dan Rp23.189.043.788.</v>
      </c>
      <c r="C7" s="2192"/>
      <c r="D7" s="2192"/>
      <c r="E7" s="2192"/>
      <c r="F7" s="2192"/>
      <c r="G7" s="2192"/>
      <c r="H7" s="2192"/>
      <c r="I7" s="2192"/>
      <c r="J7" s="1055"/>
    </row>
    <row r="8" spans="1:11" x14ac:dyDescent="0.35">
      <c r="A8" s="2508"/>
      <c r="B8" s="2192"/>
      <c r="C8" s="2192"/>
      <c r="D8" s="2192"/>
      <c r="E8" s="2192"/>
      <c r="F8" s="2192"/>
      <c r="G8" s="2192"/>
      <c r="H8" s="2192"/>
      <c r="I8" s="2192"/>
      <c r="J8" s="1055"/>
    </row>
    <row r="9" spans="1:11" ht="9.75" customHeight="1" x14ac:dyDescent="0.35">
      <c r="A9" s="1051"/>
      <c r="B9" s="904"/>
      <c r="C9" s="904"/>
      <c r="D9" s="904"/>
      <c r="E9" s="904"/>
      <c r="F9" s="906"/>
      <c r="G9" s="906"/>
      <c r="H9" s="906"/>
      <c r="I9" s="906"/>
      <c r="J9" s="907"/>
    </row>
    <row r="10" spans="1:11" x14ac:dyDescent="0.35">
      <c r="A10" s="2508" t="str">
        <f>"Defisit LO "&amp;TEXT(Input!$L$810,"Rp#.##0")</f>
        <v>Defisit LO -Rp10.854.662.544</v>
      </c>
      <c r="B10" s="902" t="s">
        <v>2222</v>
      </c>
      <c r="C10" s="738"/>
      <c r="D10" s="738"/>
      <c r="E10" s="738"/>
      <c r="F10" s="738"/>
      <c r="G10" s="738"/>
      <c r="H10" s="738"/>
      <c r="I10" s="738"/>
      <c r="J10" s="907"/>
    </row>
    <row r="11" spans="1:11" ht="9" hidden="1" customHeight="1" x14ac:dyDescent="0.35">
      <c r="A11" s="2508"/>
      <c r="B11" s="720"/>
      <c r="C11" s="904"/>
      <c r="D11" s="904"/>
      <c r="E11" s="904"/>
      <c r="F11" s="904"/>
      <c r="G11" s="904"/>
      <c r="H11" s="904"/>
      <c r="I11" s="904"/>
      <c r="J11" s="907"/>
    </row>
    <row r="12" spans="1:11" x14ac:dyDescent="0.35">
      <c r="A12" s="2508"/>
      <c r="B12" s="2192" t="str">
        <f>"Jumlah Defisit LO untuk periode yang berakhir pada "&amp;Input!$Q$24&amp;" dan "&amp;Input!$M$25&amp;" adalah defisit sebesar "&amp;TEXT(Input!$L$810,"Rp#.##0")&amp;" dan "&amp;TEXT(Input!$M$810,"Rp#.##0")&amp;". Defisit LO merupakan selisih kurang antara surplus/defisit kegiatan operasional, surplus/defisit kegiatan non operasional, dan pos luar biasa. "</f>
        <v xml:space="preserve">Jumlah Defisit LO untuk periode yang berakhir pada 31 Desember 2019 dan 31 Desember 2018 adalah defisit sebesar -Rp10.854.662.544 dan -Rp10.422.079.175. Defisit LO merupakan selisih kurang antara surplus/defisit kegiatan operasional, surplus/defisit kegiatan non operasional, dan pos luar biasa. </v>
      </c>
      <c r="C12" s="2192"/>
      <c r="D12" s="2192"/>
      <c r="E12" s="2192"/>
      <c r="F12" s="2192"/>
      <c r="G12" s="2192"/>
      <c r="H12" s="2192"/>
      <c r="I12" s="2192"/>
      <c r="J12" s="907"/>
    </row>
    <row r="13" spans="1:11" x14ac:dyDescent="0.35">
      <c r="A13" s="2508"/>
      <c r="B13" s="2192"/>
      <c r="C13" s="2192"/>
      <c r="D13" s="2192"/>
      <c r="E13" s="2192"/>
      <c r="F13" s="2192"/>
      <c r="G13" s="2192"/>
      <c r="H13" s="2192"/>
      <c r="I13" s="2192"/>
      <c r="J13" s="907"/>
    </row>
    <row r="14" spans="1:11" ht="31.5" customHeight="1" x14ac:dyDescent="0.35">
      <c r="A14" s="2508"/>
      <c r="B14" s="2192"/>
      <c r="C14" s="2192"/>
      <c r="D14" s="2192"/>
      <c r="E14" s="2192"/>
      <c r="F14" s="2192"/>
      <c r="G14" s="2192"/>
      <c r="H14" s="2192"/>
      <c r="I14" s="2192"/>
      <c r="J14" s="907"/>
    </row>
    <row r="15" spans="1:11" ht="12" customHeight="1" x14ac:dyDescent="0.35">
      <c r="A15" s="1329"/>
      <c r="B15" s="1325"/>
      <c r="C15" s="1325"/>
      <c r="D15" s="1325"/>
      <c r="E15" s="1325"/>
      <c r="F15" s="1325"/>
      <c r="G15" s="1325"/>
      <c r="H15" s="1325"/>
      <c r="I15" s="1325"/>
      <c r="J15" s="907"/>
      <c r="K15" s="544"/>
    </row>
    <row r="16" spans="1:11" ht="16.5" customHeight="1" x14ac:dyDescent="0.35">
      <c r="A16" s="2508" t="str">
        <f>"Dampak kumulatif Perubahan Kebijakan Akuntansi / Kesalahan Mendasar "&amp;TEXT(Input!$L$812,"Rp#.##0")</f>
        <v>Dampak kumulatif Perubahan Kebijakan Akuntansi / Kesalahan Mendasar Rp0</v>
      </c>
      <c r="B16" s="902" t="s">
        <v>2260</v>
      </c>
      <c r="C16" s="904"/>
      <c r="D16" s="904"/>
      <c r="E16" s="904"/>
      <c r="F16" s="906"/>
      <c r="G16" s="906"/>
      <c r="H16" s="906"/>
      <c r="I16" s="906"/>
      <c r="J16" s="907"/>
      <c r="K16" s="544"/>
    </row>
    <row r="17" spans="1:11" ht="9.75" hidden="1" customHeight="1" x14ac:dyDescent="0.35">
      <c r="A17" s="2508"/>
      <c r="B17" s="902"/>
      <c r="C17" s="904"/>
      <c r="D17" s="904"/>
      <c r="E17" s="904"/>
      <c r="F17" s="906"/>
      <c r="G17" s="906"/>
      <c r="H17" s="906"/>
      <c r="I17" s="906"/>
      <c r="J17" s="907"/>
      <c r="K17" s="544"/>
    </row>
    <row r="18" spans="1:11" ht="16.5" customHeight="1" x14ac:dyDescent="0.35">
      <c r="A18" s="2508"/>
      <c r="B18" s="2192" t="str">
        <f>"Transaksi Dampak kumulatif Perubahan Kebijakan Akuntansi / Kesalahan Mendasar untuk periode yang berakhir pada "&amp;Input!$Q$24&amp;" adalah sebesar "&amp;TEXT(Input!$L$812,"Rp#.##0")&amp;". "</f>
        <v xml:space="preserve">Transaksi Dampak kumulatif Perubahan Kebijakan Akuntansi / Kesalahan Mendasar untuk periode yang berakhir pada 31 Desember 2019 adalah sebesar Rp0. </v>
      </c>
      <c r="C18" s="2192"/>
      <c r="D18" s="2192"/>
      <c r="E18" s="2192"/>
      <c r="F18" s="2192"/>
      <c r="G18" s="2192"/>
      <c r="H18" s="2192"/>
      <c r="I18" s="2192"/>
      <c r="J18" s="907"/>
      <c r="K18" s="544"/>
    </row>
    <row r="19" spans="1:11" ht="18" customHeight="1" x14ac:dyDescent="0.35">
      <c r="A19" s="2508"/>
      <c r="B19" s="2192"/>
      <c r="C19" s="2192"/>
      <c r="D19" s="2192"/>
      <c r="E19" s="2192"/>
      <c r="F19" s="2192"/>
      <c r="G19" s="2192"/>
      <c r="H19" s="2192"/>
      <c r="I19" s="2192"/>
      <c r="J19" s="907"/>
      <c r="K19" s="544"/>
    </row>
    <row r="20" spans="1:11" ht="35.25" customHeight="1" x14ac:dyDescent="0.35">
      <c r="A20" s="2508"/>
      <c r="B20" s="2192"/>
      <c r="C20" s="2192"/>
      <c r="D20" s="2192"/>
      <c r="E20" s="2192"/>
      <c r="F20" s="2192"/>
      <c r="G20" s="2192"/>
      <c r="H20" s="2192"/>
      <c r="I20" s="2192"/>
      <c r="J20" s="907"/>
      <c r="K20" s="544"/>
    </row>
    <row r="21" spans="1:11" ht="12.75" customHeight="1" x14ac:dyDescent="0.35">
      <c r="A21" s="1367"/>
      <c r="B21" s="1369"/>
      <c r="C21" s="1369"/>
      <c r="D21" s="1369"/>
      <c r="E21" s="1369"/>
      <c r="F21" s="1369"/>
      <c r="G21" s="1369"/>
      <c r="H21" s="1369"/>
      <c r="I21" s="1369"/>
      <c r="J21" s="907"/>
      <c r="K21" s="544"/>
    </row>
    <row r="22" spans="1:11" ht="16.5" customHeight="1" x14ac:dyDescent="0.35">
      <c r="A22" s="2508" t="str">
        <f>"Penyesuaian Nilai Aset "&amp;TEXT(Input!$L$813,"Rp#.##0")</f>
        <v>Penyesuaian Nilai Aset Rp0</v>
      </c>
      <c r="B22" s="902" t="s">
        <v>2262</v>
      </c>
      <c r="C22" s="904"/>
      <c r="D22" s="904"/>
      <c r="E22" s="904"/>
      <c r="F22" s="906"/>
      <c r="G22" s="906"/>
      <c r="H22" s="906"/>
      <c r="I22" s="906"/>
      <c r="J22" s="907"/>
      <c r="K22" s="544"/>
    </row>
    <row r="23" spans="1:11" ht="9.75" hidden="1" customHeight="1" x14ac:dyDescent="0.35">
      <c r="A23" s="2508"/>
      <c r="B23" s="902"/>
      <c r="C23" s="904"/>
      <c r="D23" s="904"/>
      <c r="E23" s="904"/>
      <c r="F23" s="906"/>
      <c r="G23" s="906"/>
      <c r="H23" s="906"/>
      <c r="I23" s="906"/>
      <c r="J23" s="907"/>
      <c r="K23" s="544"/>
    </row>
    <row r="24" spans="1:11" ht="16.5" customHeight="1" x14ac:dyDescent="0.35">
      <c r="A24" s="2508"/>
      <c r="B24" s="2192" t="str">
        <f>"Nilai Penyesuaian Nilai Aset untuk periode yang berakhir pada "&amp;Input!$Q$24&amp;" dan "&amp;Input!$M$25&amp;" adalah sebesar "&amp;TEXT(Input!$L$813,"Rp#.##0")&amp;" dan "&amp;TEXT(Input!$M$813,"Rp#.##0")&amp;". "</f>
        <v xml:space="preserve">Nilai Penyesuaian Nilai Aset untuk periode yang berakhir pada 31 Desember 2019 dan 31 Desember 2018 adalah sebesar Rp0 dan Rp0. </v>
      </c>
      <c r="C24" s="2192"/>
      <c r="D24" s="2192"/>
      <c r="E24" s="2192"/>
      <c r="F24" s="2192"/>
      <c r="G24" s="2192"/>
      <c r="H24" s="2192"/>
      <c r="I24" s="2192"/>
      <c r="J24" s="907"/>
      <c r="K24" s="544"/>
    </row>
    <row r="25" spans="1:11" ht="18" customHeight="1" x14ac:dyDescent="0.35">
      <c r="A25" s="2508"/>
      <c r="B25" s="2192"/>
      <c r="C25" s="2192"/>
      <c r="D25" s="2192"/>
      <c r="E25" s="2192"/>
      <c r="F25" s="2192"/>
      <c r="G25" s="2192"/>
      <c r="H25" s="2192"/>
      <c r="I25" s="2192"/>
      <c r="J25" s="907"/>
      <c r="K25" s="544"/>
    </row>
    <row r="26" spans="1:11" ht="35.25" customHeight="1" x14ac:dyDescent="0.35">
      <c r="A26" s="1318"/>
      <c r="B26" s="2192" t="s">
        <v>2171</v>
      </c>
      <c r="C26" s="2192"/>
      <c r="D26" s="2192"/>
      <c r="E26" s="2192"/>
      <c r="F26" s="2192"/>
      <c r="G26" s="2192"/>
      <c r="H26" s="2192"/>
      <c r="I26" s="2192"/>
      <c r="J26" s="907"/>
      <c r="K26" s="544"/>
    </row>
    <row r="27" spans="1:11" ht="12.75" customHeight="1" x14ac:dyDescent="0.35">
      <c r="A27" s="1318"/>
      <c r="B27" s="1320"/>
      <c r="C27" s="1320"/>
      <c r="D27" s="1320"/>
      <c r="E27" s="1320"/>
      <c r="F27" s="1320"/>
      <c r="G27" s="1320"/>
      <c r="H27" s="1320"/>
      <c r="I27" s="1320"/>
      <c r="J27" s="907"/>
      <c r="K27" s="544"/>
    </row>
    <row r="28" spans="1:11" x14ac:dyDescent="0.35">
      <c r="A28" s="2508" t="str">
        <f>"Koreksi Nilai Persediaan "&amp;TEXT(Input!$L$814,"Rp#.##0")</f>
        <v>Koreksi Nilai Persediaan Rp0</v>
      </c>
      <c r="B28" s="902" t="s">
        <v>2263</v>
      </c>
      <c r="C28" s="738"/>
      <c r="D28" s="738"/>
      <c r="E28" s="738"/>
      <c r="F28" s="738"/>
      <c r="G28" s="738"/>
      <c r="H28" s="738"/>
      <c r="I28" s="738"/>
      <c r="J28" s="907"/>
    </row>
    <row r="29" spans="1:11" ht="8.25" hidden="1" customHeight="1" x14ac:dyDescent="0.35">
      <c r="A29" s="2508"/>
      <c r="B29" s="902"/>
      <c r="C29" s="738"/>
      <c r="D29" s="738"/>
      <c r="E29" s="738"/>
      <c r="F29" s="738"/>
      <c r="G29" s="738"/>
      <c r="H29" s="738"/>
      <c r="I29" s="738"/>
      <c r="J29" s="907"/>
      <c r="K29" s="544"/>
    </row>
    <row r="30" spans="1:11" x14ac:dyDescent="0.35">
      <c r="A30" s="2508"/>
      <c r="B30" s="2192" t="str">
        <f>"Koreksi Nilai Persediaan mencerminkan koreksi atas nilai persediaan yang diakibatkan karena kesalahan dalam penilaian persediaan yang terjadi  pada periode sebelumnya. Koreksi tambah atas nilai persediaan untuk tahun "&amp;Input!$Y24&amp;" dan "&amp;Input!$Y25&amp;" masing-masing sebesar "&amp;TEXT(Input!$L$814,"Rp#.##0")&amp;" dan "&amp;TEXT(Input!$M$814,"Rp#.##0")&amp;". Rincian Koreksi Nilai Persediaan tahun "&amp;Input!$Y24&amp;" adalah sebagai berikut:  "</f>
        <v xml:space="preserve">Koreksi Nilai Persediaan mencerminkan koreksi atas nilai persediaan yang diakibatkan karena kesalahan dalam penilaian persediaan yang terjadi  pada periode sebelumnya. Koreksi tambah atas nilai persediaan untuk tahun 2019 dan 2018 masing-masing sebesar Rp0 dan Rp0. Rincian Koreksi Nilai Persediaan tahun 2019 adalah sebagai berikut:  </v>
      </c>
      <c r="C30" s="2192"/>
      <c r="D30" s="2192"/>
      <c r="E30" s="2192"/>
      <c r="F30" s="2192"/>
      <c r="G30" s="2192"/>
      <c r="H30" s="2192"/>
      <c r="I30" s="2192"/>
      <c r="J30" s="907"/>
    </row>
    <row r="31" spans="1:11" x14ac:dyDescent="0.35">
      <c r="A31" s="2508"/>
      <c r="B31" s="2192"/>
      <c r="C31" s="2192"/>
      <c r="D31" s="2192"/>
      <c r="E31" s="2192"/>
      <c r="F31" s="2192"/>
      <c r="G31" s="2192"/>
      <c r="H31" s="2192"/>
      <c r="I31" s="2192"/>
      <c r="J31" s="907"/>
    </row>
    <row r="32" spans="1:11" x14ac:dyDescent="0.35">
      <c r="A32" s="2508"/>
      <c r="B32" s="2192"/>
      <c r="C32" s="2192"/>
      <c r="D32" s="2192"/>
      <c r="E32" s="2192"/>
      <c r="F32" s="2192"/>
      <c r="G32" s="2192"/>
      <c r="H32" s="2192"/>
      <c r="I32" s="2192"/>
      <c r="J32" s="907"/>
    </row>
    <row r="33" spans="1:11" x14ac:dyDescent="0.35">
      <c r="A33" s="2508"/>
      <c r="B33" s="2192"/>
      <c r="C33" s="2192"/>
      <c r="D33" s="2192"/>
      <c r="E33" s="2192"/>
      <c r="F33" s="2192"/>
      <c r="G33" s="2192"/>
      <c r="H33" s="2192"/>
      <c r="I33" s="2192"/>
      <c r="J33" s="907"/>
    </row>
    <row r="34" spans="1:11" x14ac:dyDescent="0.35">
      <c r="A34" s="1051"/>
      <c r="B34" s="904"/>
      <c r="C34" s="904"/>
      <c r="D34" s="904"/>
      <c r="E34" s="904"/>
      <c r="F34" s="906"/>
      <c r="G34" s="906"/>
      <c r="H34" s="906"/>
      <c r="I34" s="906"/>
      <c r="J34" s="907"/>
    </row>
    <row r="35" spans="1:11" x14ac:dyDescent="0.35">
      <c r="A35" s="1051"/>
      <c r="B35" s="2592" t="s">
        <v>1828</v>
      </c>
      <c r="C35" s="2592"/>
      <c r="D35" s="2592"/>
      <c r="E35" s="2592"/>
      <c r="F35" s="906"/>
      <c r="G35" s="906"/>
      <c r="H35" s="906"/>
      <c r="I35" s="906"/>
      <c r="J35" s="907"/>
    </row>
    <row r="36" spans="1:11" x14ac:dyDescent="0.35">
      <c r="A36" s="1051"/>
      <c r="B36" s="2593" t="s">
        <v>1829</v>
      </c>
      <c r="C36" s="2594"/>
      <c r="D36" s="2595"/>
      <c r="E36" s="1062" t="s">
        <v>1830</v>
      </c>
      <c r="F36" s="906"/>
      <c r="G36" s="906"/>
      <c r="H36" s="906"/>
      <c r="I36" s="906"/>
      <c r="J36" s="907"/>
    </row>
    <row r="37" spans="1:11" x14ac:dyDescent="0.35">
      <c r="A37" s="1051"/>
      <c r="B37" s="2871" t="s">
        <v>1135</v>
      </c>
      <c r="C37" s="2872"/>
      <c r="D37" s="2873"/>
      <c r="E37" s="1065">
        <v>0</v>
      </c>
      <c r="F37" s="906"/>
      <c r="G37" s="906"/>
      <c r="H37" s="906"/>
      <c r="I37" s="906"/>
      <c r="J37" s="907"/>
    </row>
    <row r="38" spans="1:11" x14ac:dyDescent="0.35">
      <c r="A38" s="1051"/>
      <c r="B38" s="2871" t="s">
        <v>1136</v>
      </c>
      <c r="C38" s="2872"/>
      <c r="D38" s="2873"/>
      <c r="E38" s="1065">
        <v>0</v>
      </c>
      <c r="F38" s="906"/>
      <c r="G38" s="906"/>
      <c r="H38" s="906"/>
      <c r="I38" s="906"/>
      <c r="J38" s="907"/>
    </row>
    <row r="39" spans="1:11" x14ac:dyDescent="0.35">
      <c r="A39" s="1319"/>
      <c r="B39" s="2871" t="s">
        <v>2172</v>
      </c>
      <c r="C39" s="2872"/>
      <c r="D39" s="2873"/>
      <c r="E39" s="1065">
        <v>0</v>
      </c>
      <c r="F39" s="906"/>
      <c r="G39" s="906"/>
      <c r="H39" s="906"/>
      <c r="I39" s="906"/>
      <c r="J39" s="907"/>
      <c r="K39" s="544"/>
    </row>
    <row r="40" spans="1:11" x14ac:dyDescent="0.35">
      <c r="A40" s="1051"/>
      <c r="B40" s="2871" t="s">
        <v>1831</v>
      </c>
      <c r="C40" s="2872"/>
      <c r="D40" s="2873"/>
      <c r="E40" s="1065">
        <v>0</v>
      </c>
      <c r="F40" s="906"/>
      <c r="G40" s="906"/>
      <c r="H40" s="906"/>
      <c r="I40" s="906"/>
      <c r="J40" s="907"/>
    </row>
    <row r="41" spans="1:11" x14ac:dyDescent="0.35">
      <c r="A41" s="1051"/>
      <c r="B41" s="2876" t="s">
        <v>116</v>
      </c>
      <c r="C41" s="2877"/>
      <c r="D41" s="2878"/>
      <c r="E41" s="1066">
        <f>SUM(E37:E40)</f>
        <v>0</v>
      </c>
      <c r="F41" s="906"/>
      <c r="G41" s="906"/>
      <c r="H41" s="906"/>
      <c r="I41" s="906"/>
      <c r="J41" s="907"/>
    </row>
    <row r="42" spans="1:11" x14ac:dyDescent="0.35">
      <c r="A42" s="1051"/>
      <c r="B42" s="904"/>
      <c r="C42" s="904"/>
      <c r="D42" s="904"/>
      <c r="E42" s="904"/>
      <c r="F42" s="906"/>
      <c r="G42" s="906"/>
      <c r="H42" s="906"/>
      <c r="I42" s="906"/>
      <c r="J42" s="907"/>
    </row>
    <row r="43" spans="1:11" x14ac:dyDescent="0.35">
      <c r="A43" s="2508" t="str">
        <f>"Koreksi Aset Tetap Non Revaluasi "&amp;TEXT(Input!$L$816,"Rp#.##0")</f>
        <v>Koreksi Aset Tetap Non Revaluasi Rp0</v>
      </c>
      <c r="B43" s="902" t="s">
        <v>2264</v>
      </c>
      <c r="C43" s="738"/>
      <c r="D43" s="738"/>
      <c r="E43" s="738"/>
      <c r="F43" s="738"/>
      <c r="G43" s="738"/>
      <c r="H43" s="738"/>
      <c r="I43" s="738"/>
      <c r="J43" s="907"/>
    </row>
    <row r="44" spans="1:11" ht="6.75" hidden="1" customHeight="1" x14ac:dyDescent="0.35">
      <c r="A44" s="2508"/>
      <c r="B44" s="720"/>
      <c r="C44" s="904"/>
      <c r="D44" s="904"/>
      <c r="E44" s="904"/>
      <c r="F44" s="904"/>
      <c r="G44" s="904"/>
      <c r="H44" s="904"/>
      <c r="I44" s="904"/>
      <c r="J44" s="907"/>
    </row>
    <row r="45" spans="1:11" x14ac:dyDescent="0.35">
      <c r="A45" s="2508"/>
      <c r="B45" s="2743" t="str">
        <f>"Selisih Revaluasi Aset Tetap merupakan selisih yang muncul pada saat dilakukan penilaian ulang aset tetap. Selisih Revaluasi Aset Tetap untuk periode yang berakhir "&amp;Input!$M$24&amp;" dan "&amp;Input!$M$25&amp;" masing-masing sebesar "&amp;TEXT(Input!$L$816,"Rp#.##0")&amp;" dan "&amp;TEXT(Input!$M$816,"Rp#.##0")&amp;"."</f>
        <v>Selisih Revaluasi Aset Tetap merupakan selisih yang muncul pada saat dilakukan penilaian ulang aset tetap. Selisih Revaluasi Aset Tetap untuk periode yang berakhir 31 Desember 2019 dan 31 Desember 2018 masing-masing sebesar Rp0 dan Rp14.234.709.992.</v>
      </c>
      <c r="C45" s="2743"/>
      <c r="D45" s="2743"/>
      <c r="E45" s="2743"/>
      <c r="F45" s="2743"/>
      <c r="G45" s="2743"/>
      <c r="H45" s="2743"/>
      <c r="I45" s="2743"/>
      <c r="J45" s="907"/>
    </row>
    <row r="46" spans="1:11" x14ac:dyDescent="0.35">
      <c r="A46" s="2508"/>
      <c r="B46" s="2743"/>
      <c r="C46" s="2743"/>
      <c r="D46" s="2743"/>
      <c r="E46" s="2743"/>
      <c r="F46" s="2743"/>
      <c r="G46" s="2743"/>
      <c r="H46" s="2743"/>
      <c r="I46" s="2743"/>
      <c r="J46" s="907"/>
    </row>
    <row r="47" spans="1:11" ht="18" customHeight="1" x14ac:dyDescent="0.35">
      <c r="A47" s="2508"/>
      <c r="B47" s="2743"/>
      <c r="C47" s="2743"/>
      <c r="D47" s="2743"/>
      <c r="E47" s="2743"/>
      <c r="F47" s="2743"/>
      <c r="G47" s="2743"/>
      <c r="H47" s="2743"/>
      <c r="I47" s="2743"/>
      <c r="J47" s="907"/>
    </row>
    <row r="48" spans="1:11" ht="18" customHeight="1" x14ac:dyDescent="0.35">
      <c r="A48" s="1427"/>
      <c r="B48" s="2894" t="s">
        <v>45</v>
      </c>
      <c r="C48" s="2894"/>
      <c r="D48" s="1438" t="s">
        <v>2347</v>
      </c>
      <c r="E48" s="1438" t="s">
        <v>140</v>
      </c>
      <c r="F48" s="1434"/>
      <c r="G48" s="1431"/>
      <c r="H48" s="1431"/>
      <c r="I48" s="1431"/>
      <c r="J48" s="907"/>
      <c r="K48" s="544"/>
    </row>
    <row r="49" spans="1:11" ht="18" customHeight="1" x14ac:dyDescent="0.35">
      <c r="A49" s="1427"/>
      <c r="B49" s="2895" t="s">
        <v>2346</v>
      </c>
      <c r="C49" s="2895"/>
      <c r="D49" s="1436" t="s">
        <v>79</v>
      </c>
      <c r="E49" s="1437">
        <v>12150000000</v>
      </c>
      <c r="F49" s="1432"/>
      <c r="G49" s="1431"/>
      <c r="H49" s="1431"/>
      <c r="I49" s="1431"/>
      <c r="J49" s="907"/>
      <c r="K49" s="544"/>
    </row>
    <row r="50" spans="1:11" ht="18" customHeight="1" x14ac:dyDescent="0.35">
      <c r="A50" s="1427"/>
      <c r="B50" s="2895" t="s">
        <v>2346</v>
      </c>
      <c r="C50" s="2895"/>
      <c r="D50" s="1436" t="s">
        <v>81</v>
      </c>
      <c r="E50" s="1437">
        <v>2084709992</v>
      </c>
      <c r="F50" s="1432"/>
      <c r="G50" s="1431"/>
      <c r="H50" s="1431"/>
      <c r="I50" s="1431"/>
      <c r="J50" s="907"/>
      <c r="K50" s="544"/>
    </row>
    <row r="51" spans="1:11" x14ac:dyDescent="0.35">
      <c r="A51" s="1051"/>
      <c r="B51" s="2896" t="s">
        <v>116</v>
      </c>
      <c r="C51" s="2896"/>
      <c r="D51" s="2896"/>
      <c r="E51" s="1435">
        <f>SUM(E49:E50)</f>
        <v>14234709992</v>
      </c>
      <c r="F51" s="1433"/>
      <c r="G51" s="924"/>
      <c r="H51" s="924"/>
      <c r="I51" s="924"/>
      <c r="J51" s="907"/>
    </row>
    <row r="52" spans="1:11" x14ac:dyDescent="0.35">
      <c r="A52" s="2508" t="str">
        <f>"Koreksi Aset Tetap Non Revaluasi "&amp;TEXT(Input!$L$817,"Rp#.##0")</f>
        <v>Koreksi Aset Tetap Non Revaluasi Rp0</v>
      </c>
      <c r="B52" s="902" t="s">
        <v>2174</v>
      </c>
      <c r="C52" s="738"/>
      <c r="D52" s="738"/>
      <c r="E52" s="738"/>
      <c r="F52" s="738"/>
      <c r="G52" s="738"/>
      <c r="H52" s="738"/>
      <c r="I52" s="738"/>
      <c r="J52" s="907"/>
    </row>
    <row r="53" spans="1:11" ht="15.75" hidden="1" customHeight="1" x14ac:dyDescent="0.35">
      <c r="A53" s="2508"/>
      <c r="B53" s="720"/>
      <c r="C53" s="904"/>
      <c r="D53" s="904"/>
      <c r="E53" s="904"/>
      <c r="F53" s="904"/>
      <c r="G53" s="904"/>
      <c r="H53" s="904"/>
      <c r="I53" s="904"/>
      <c r="J53" s="907"/>
    </row>
    <row r="54" spans="1:11" x14ac:dyDescent="0.35">
      <c r="A54" s="2508"/>
      <c r="B54" s="2192" t="str">
        <f>"Koreksi Aset Tetap Non Revaluasi untuk periode yang berakhir pada "&amp;Input!$M$24&amp;" dan "&amp;Input!$M$25&amp;" adalah sebesar "&amp;TEXT(Input!$L$817,"Rp#.##0")&amp;" dan "&amp;TEXT(Input!$M$817,"Rp#.##0")&amp;". "</f>
        <v xml:space="preserve">Koreksi Aset Tetap Non Revaluasi untuk periode yang berakhir pada 31 Desember 2019 dan 31 Desember 2018 adalah sebesar Rp0 dan Rp0. </v>
      </c>
      <c r="C54" s="2192"/>
      <c r="D54" s="2192"/>
      <c r="E54" s="2192"/>
      <c r="F54" s="2192"/>
      <c r="G54" s="2192"/>
      <c r="H54" s="2192"/>
      <c r="I54" s="2192"/>
      <c r="J54" s="907"/>
    </row>
    <row r="55" spans="1:11" x14ac:dyDescent="0.35">
      <c r="A55" s="2508"/>
      <c r="B55" s="2192"/>
      <c r="C55" s="2192"/>
      <c r="D55" s="2192"/>
      <c r="E55" s="2192"/>
      <c r="F55" s="2192"/>
      <c r="G55" s="2192"/>
      <c r="H55" s="2192"/>
      <c r="I55" s="2192"/>
      <c r="J55" s="907"/>
    </row>
    <row r="56" spans="1:11" ht="1.5" customHeight="1" x14ac:dyDescent="0.35">
      <c r="A56" s="2508"/>
      <c r="B56" s="2192"/>
      <c r="C56" s="2192"/>
      <c r="D56" s="2192"/>
      <c r="E56" s="2192"/>
      <c r="F56" s="2192"/>
      <c r="G56" s="2192"/>
      <c r="H56" s="2192"/>
      <c r="I56" s="2192"/>
      <c r="J56" s="907"/>
    </row>
    <row r="57" spans="1:11" ht="6" hidden="1" customHeight="1" x14ac:dyDescent="0.35">
      <c r="A57" s="2508"/>
      <c r="B57" s="2192"/>
      <c r="C57" s="2192"/>
      <c r="D57" s="2192"/>
      <c r="E57" s="2192"/>
      <c r="F57" s="2192"/>
      <c r="G57" s="2192"/>
      <c r="H57" s="2192"/>
      <c r="I57" s="2192"/>
      <c r="J57" s="907"/>
    </row>
    <row r="58" spans="1:11" ht="36.75" customHeight="1" x14ac:dyDescent="0.35">
      <c r="A58" s="1051"/>
      <c r="B58" s="2502" t="s">
        <v>2350</v>
      </c>
      <c r="C58" s="2502"/>
      <c r="D58" s="2502"/>
      <c r="E58" s="2502"/>
      <c r="F58" s="2502"/>
      <c r="G58" s="2502"/>
      <c r="H58" s="2502"/>
      <c r="I58" s="2502"/>
      <c r="J58" s="907"/>
    </row>
    <row r="59" spans="1:11" x14ac:dyDescent="0.35">
      <c r="A59" s="1051"/>
      <c r="B59" s="2592" t="str">
        <f>"Rincian Koreksi Aset Tetap Non Revaluasi Tahun "&amp;Input!$Y$24&amp;"."</f>
        <v>Rincian Koreksi Aset Tetap Non Revaluasi Tahun 2019.</v>
      </c>
      <c r="C59" s="2592"/>
      <c r="D59" s="2592"/>
      <c r="E59" s="2592"/>
      <c r="F59" s="906"/>
      <c r="G59" s="906"/>
      <c r="H59" s="906"/>
      <c r="I59" s="906"/>
      <c r="J59" s="907"/>
    </row>
    <row r="60" spans="1:11" x14ac:dyDescent="0.35">
      <c r="A60" s="1051"/>
      <c r="B60" s="2593" t="s">
        <v>2192</v>
      </c>
      <c r="C60" s="2594"/>
      <c r="D60" s="2595"/>
      <c r="E60" s="1062" t="s">
        <v>2193</v>
      </c>
      <c r="F60" s="906"/>
      <c r="G60" s="906"/>
      <c r="H60" s="906"/>
      <c r="I60" s="906"/>
      <c r="J60" s="907"/>
    </row>
    <row r="61" spans="1:11" x14ac:dyDescent="0.35">
      <c r="A61" s="1051"/>
      <c r="B61" s="2871" t="s">
        <v>80</v>
      </c>
      <c r="C61" s="2872"/>
      <c r="D61" s="2873"/>
      <c r="E61" s="1065">
        <v>0</v>
      </c>
      <c r="F61" s="906"/>
      <c r="G61" s="906"/>
      <c r="H61" s="906"/>
      <c r="I61" s="906"/>
      <c r="J61" s="907"/>
    </row>
    <row r="62" spans="1:11" x14ac:dyDescent="0.35">
      <c r="A62" s="1051"/>
      <c r="B62" s="2871" t="s">
        <v>81</v>
      </c>
      <c r="C62" s="2872"/>
      <c r="D62" s="2873"/>
      <c r="E62" s="1065"/>
      <c r="F62" s="906"/>
      <c r="G62" s="906"/>
      <c r="H62" s="906" t="s">
        <v>2334</v>
      </c>
      <c r="I62" s="906"/>
      <c r="J62" s="907"/>
    </row>
    <row r="63" spans="1:11" x14ac:dyDescent="0.35">
      <c r="A63" s="1051"/>
      <c r="B63" s="2871" t="s">
        <v>82</v>
      </c>
      <c r="C63" s="2872"/>
      <c r="D63" s="2873"/>
      <c r="E63" s="1065">
        <v>0</v>
      </c>
      <c r="F63" s="906"/>
      <c r="G63" s="906"/>
      <c r="H63" s="906"/>
      <c r="I63" s="906"/>
      <c r="J63" s="907"/>
    </row>
    <row r="64" spans="1:11" x14ac:dyDescent="0.35">
      <c r="A64" s="1051"/>
      <c r="B64" s="2876" t="s">
        <v>116</v>
      </c>
      <c r="C64" s="2877"/>
      <c r="D64" s="2878"/>
      <c r="E64" s="1066">
        <f>SUM(E61:E63)</f>
        <v>0</v>
      </c>
      <c r="F64" s="906"/>
      <c r="G64" s="906"/>
      <c r="H64" s="906"/>
      <c r="I64" s="906"/>
      <c r="J64" s="907"/>
    </row>
    <row r="65" spans="1:11" ht="9.75" customHeight="1" x14ac:dyDescent="0.35">
      <c r="A65" s="1051"/>
      <c r="B65" s="908"/>
      <c r="C65" s="908"/>
      <c r="D65" s="908"/>
      <c r="E65" s="908"/>
      <c r="F65" s="906"/>
      <c r="G65" s="906"/>
      <c r="H65" s="906"/>
      <c r="I65" s="906"/>
      <c r="J65" s="907"/>
    </row>
    <row r="66" spans="1:11" ht="9.75" customHeight="1" x14ac:dyDescent="0.35">
      <c r="A66" s="1056"/>
      <c r="B66" s="908"/>
      <c r="C66" s="908"/>
      <c r="D66" s="908"/>
      <c r="E66" s="908"/>
      <c r="F66" s="906"/>
      <c r="G66" s="906"/>
      <c r="H66" s="906"/>
      <c r="I66" s="906"/>
      <c r="J66" s="907"/>
      <c r="K66" s="544"/>
    </row>
    <row r="67" spans="1:11" x14ac:dyDescent="0.35">
      <c r="A67" s="2508" t="str">
        <f>"Koreksi Lain-lain "&amp;TEXT(Input!$L$818,"Rp#.##0")</f>
        <v>Koreksi Lain-lain Rp0</v>
      </c>
      <c r="B67" s="902" t="s">
        <v>2223</v>
      </c>
      <c r="C67" s="738"/>
      <c r="D67" s="738"/>
      <c r="E67" s="738"/>
      <c r="F67" s="738"/>
      <c r="G67" s="738"/>
      <c r="H67" s="738"/>
      <c r="I67" s="738"/>
      <c r="J67" s="907"/>
    </row>
    <row r="68" spans="1:11" ht="9" hidden="1" customHeight="1" x14ac:dyDescent="0.35">
      <c r="A68" s="2508"/>
      <c r="B68" s="720"/>
      <c r="C68" s="904"/>
      <c r="D68" s="904"/>
      <c r="E68" s="904"/>
      <c r="F68" s="904"/>
      <c r="G68" s="904"/>
      <c r="H68" s="904"/>
      <c r="I68" s="904"/>
      <c r="J68" s="907"/>
    </row>
    <row r="69" spans="1:11" x14ac:dyDescent="0.35">
      <c r="A69" s="2508"/>
      <c r="B69" s="2192" t="str">
        <f>"Koreksi Lain-lain untuk periode yang berakhir pada "&amp;Input!$M$24&amp;" dan "&amp;Input!$M$25&amp;" masing-masing sebesar "&amp;TEXT(Input!$L$818,"Rp#.##0")&amp;" dan "&amp;TEXT(Input!$M$818,"Rp#.##0")&amp;". Koreksi ini merupakan koreksi selain yang berkaitan Barang Milik Negara, antara lain koreksi atas pendapatan, koreksi atas beban , koreksi atas hibah, piutang dan utang. Koreksi Lain-lain terdiri dari :"</f>
        <v>Koreksi Lain-lain untuk periode yang berakhir pada 31 Desember 2019 dan 31 Desember 2018 masing-masing sebesar Rp0 dan Rp0. Koreksi ini merupakan koreksi selain yang berkaitan Barang Milik Negara, antara lain koreksi atas pendapatan, koreksi atas beban , koreksi atas hibah, piutang dan utang. Koreksi Lain-lain terdiri dari :</v>
      </c>
      <c r="C69" s="2192"/>
      <c r="D69" s="2192"/>
      <c r="E69" s="2192"/>
      <c r="F69" s="2192"/>
      <c r="G69" s="2192"/>
      <c r="H69" s="2192"/>
      <c r="I69" s="2192"/>
      <c r="J69" s="907"/>
    </row>
    <row r="70" spans="1:11" x14ac:dyDescent="0.35">
      <c r="A70" s="2508"/>
      <c r="B70" s="2192"/>
      <c r="C70" s="2192"/>
      <c r="D70" s="2192"/>
      <c r="E70" s="2192"/>
      <c r="F70" s="2192"/>
      <c r="G70" s="2192"/>
      <c r="H70" s="2192"/>
      <c r="I70" s="2192"/>
      <c r="J70" s="907"/>
    </row>
    <row r="71" spans="1:11" x14ac:dyDescent="0.35">
      <c r="A71" s="2508"/>
      <c r="B71" s="2192"/>
      <c r="C71" s="2192"/>
      <c r="D71" s="2192"/>
      <c r="E71" s="2192"/>
      <c r="F71" s="2192"/>
      <c r="G71" s="2192"/>
      <c r="H71" s="2192"/>
      <c r="I71" s="2192"/>
      <c r="J71" s="907"/>
    </row>
    <row r="72" spans="1:11" x14ac:dyDescent="0.35">
      <c r="A72" s="2508"/>
      <c r="B72" s="2192"/>
      <c r="C72" s="2192"/>
      <c r="D72" s="2192"/>
      <c r="E72" s="2192"/>
      <c r="F72" s="2192"/>
      <c r="G72" s="2192"/>
      <c r="H72" s="2192"/>
      <c r="I72" s="2192"/>
      <c r="J72" s="907"/>
    </row>
    <row r="73" spans="1:11" ht="9" customHeight="1" x14ac:dyDescent="0.35">
      <c r="A73" s="1051"/>
      <c r="B73" s="908"/>
      <c r="C73" s="908"/>
      <c r="D73" s="908"/>
      <c r="E73" s="908"/>
      <c r="F73" s="906"/>
      <c r="G73" s="906"/>
      <c r="H73" s="906"/>
      <c r="I73" s="906"/>
      <c r="J73" s="907"/>
    </row>
    <row r="74" spans="1:11" x14ac:dyDescent="0.35">
      <c r="A74" s="1051"/>
      <c r="B74" s="2592" t="s">
        <v>2175</v>
      </c>
      <c r="C74" s="2592"/>
      <c r="D74" s="2592"/>
      <c r="E74" s="2592"/>
      <c r="F74" s="906"/>
      <c r="G74" s="906"/>
      <c r="H74" s="906"/>
      <c r="I74" s="906"/>
      <c r="J74" s="907"/>
    </row>
    <row r="75" spans="1:11" x14ac:dyDescent="0.35">
      <c r="A75" s="1051"/>
      <c r="B75" s="2721" t="s">
        <v>1833</v>
      </c>
      <c r="C75" s="2893"/>
      <c r="D75" s="2722"/>
      <c r="E75" s="1062" t="s">
        <v>2176</v>
      </c>
      <c r="F75" s="906"/>
      <c r="G75" s="906"/>
      <c r="H75" s="906"/>
      <c r="I75" s="906"/>
      <c r="J75" s="907"/>
    </row>
    <row r="76" spans="1:11" x14ac:dyDescent="0.35">
      <c r="A76" s="1051"/>
      <c r="B76" s="2897" t="s">
        <v>2180</v>
      </c>
      <c r="C76" s="2898"/>
      <c r="D76" s="2899"/>
      <c r="E76" s="1065">
        <v>0</v>
      </c>
      <c r="F76" s="906"/>
      <c r="G76" s="906"/>
      <c r="H76" s="906"/>
      <c r="I76" s="906"/>
      <c r="J76" s="907"/>
    </row>
    <row r="77" spans="1:11" x14ac:dyDescent="0.35">
      <c r="A77" s="1051"/>
      <c r="B77" s="2897" t="s">
        <v>2181</v>
      </c>
      <c r="C77" s="2898"/>
      <c r="D77" s="2899"/>
      <c r="E77" s="1065">
        <v>0</v>
      </c>
      <c r="F77" s="906"/>
      <c r="G77" s="906"/>
      <c r="H77" s="906"/>
      <c r="I77" s="906"/>
      <c r="J77" s="907"/>
    </row>
    <row r="78" spans="1:11" x14ac:dyDescent="0.35">
      <c r="A78" s="1051"/>
      <c r="B78" s="2897" t="s">
        <v>2182</v>
      </c>
      <c r="C78" s="2898"/>
      <c r="D78" s="2899"/>
      <c r="E78" s="1065">
        <v>0</v>
      </c>
      <c r="F78" s="906"/>
      <c r="G78" s="906"/>
      <c r="H78" s="906"/>
      <c r="I78" s="906"/>
      <c r="J78" s="907"/>
    </row>
    <row r="79" spans="1:11" x14ac:dyDescent="0.35">
      <c r="A79" s="1331"/>
      <c r="B79" s="2897" t="s">
        <v>2183</v>
      </c>
      <c r="C79" s="2898"/>
      <c r="D79" s="2899"/>
      <c r="E79" s="1065">
        <v>0</v>
      </c>
      <c r="F79" s="906"/>
      <c r="G79" s="906"/>
      <c r="H79" s="906"/>
      <c r="I79" s="906"/>
      <c r="J79" s="907"/>
      <c r="K79" s="544"/>
    </row>
    <row r="80" spans="1:11" x14ac:dyDescent="0.35">
      <c r="A80" s="1331"/>
      <c r="B80" s="2897" t="s">
        <v>2184</v>
      </c>
      <c r="C80" s="2898"/>
      <c r="D80" s="2899"/>
      <c r="E80" s="1065">
        <v>0</v>
      </c>
      <c r="F80" s="906"/>
      <c r="G80" s="906"/>
      <c r="H80" s="906"/>
      <c r="I80" s="906"/>
      <c r="J80" s="907"/>
      <c r="K80" s="544"/>
    </row>
    <row r="81" spans="1:11" x14ac:dyDescent="0.35">
      <c r="A81" s="1051"/>
      <c r="B81" s="2876" t="s">
        <v>116</v>
      </c>
      <c r="C81" s="2877"/>
      <c r="D81" s="2878"/>
      <c r="E81" s="1066">
        <f>SUM(E76:E78)</f>
        <v>0</v>
      </c>
      <c r="F81" s="906"/>
      <c r="G81" s="906"/>
      <c r="H81" s="906"/>
      <c r="I81" s="906"/>
      <c r="J81" s="907"/>
    </row>
    <row r="82" spans="1:11" ht="24" customHeight="1" x14ac:dyDescent="0.35">
      <c r="A82" s="1051"/>
      <c r="B82" s="908"/>
      <c r="C82" s="908"/>
      <c r="D82" s="908"/>
      <c r="E82" s="908"/>
      <c r="F82" s="906"/>
      <c r="G82" s="906"/>
      <c r="H82" s="906"/>
      <c r="I82" s="906"/>
      <c r="J82" s="907"/>
    </row>
    <row r="83" spans="1:11" x14ac:dyDescent="0.35">
      <c r="A83" s="2508" t="str">
        <f>"Transaksi Antar Entitas "&amp;TEXT(Input!$L$819,"Rp#.##0")</f>
        <v>Transaksi Antar Entitas Rp11.428.344.724</v>
      </c>
      <c r="B83" s="902" t="s">
        <v>2177</v>
      </c>
      <c r="C83" s="738"/>
      <c r="D83" s="738"/>
      <c r="E83" s="738"/>
      <c r="F83" s="738"/>
      <c r="G83" s="738"/>
      <c r="H83" s="738"/>
      <c r="I83" s="738"/>
      <c r="J83" s="907"/>
    </row>
    <row r="84" spans="1:11" ht="11.25" hidden="1" customHeight="1" x14ac:dyDescent="0.35">
      <c r="A84" s="2508"/>
      <c r="B84" s="720"/>
      <c r="C84" s="904"/>
      <c r="D84" s="904"/>
      <c r="E84" s="904"/>
      <c r="F84" s="904"/>
      <c r="G84" s="904"/>
      <c r="H84" s="904"/>
      <c r="I84" s="904"/>
      <c r="J84" s="907"/>
    </row>
    <row r="85" spans="1:11" x14ac:dyDescent="0.35">
      <c r="A85" s="2508"/>
      <c r="B85" s="2192" t="str">
        <f>"Nilai Transaksi Antar Entitas untuk periode yang berakhir "&amp;Input!$Q$24&amp;" dan "&amp;Input!$M$25&amp;" masing-masing sebesar "&amp;TEXT(Input!$L$819,"Rp#.##0")&amp;" dan "&amp;TEXT(Input!$M$819,"Rp#.##0")&amp;". Transaksi Antar Entitas adalah transaksi yang melibatkan dua atau lebih entitas yang berbeda baik internal KL, antar KL, antar BUN maupun KL dengan BUN."</f>
        <v>Nilai Transaksi Antar Entitas untuk periode yang berakhir 31 Desember 2019 dan 31 Desember 2018 masing-masing sebesar Rp11.428.344.724 dan Rp11.443.436.050. Transaksi Antar Entitas adalah transaksi yang melibatkan dua atau lebih entitas yang berbeda baik internal KL, antar KL, antar BUN maupun KL dengan BUN.</v>
      </c>
      <c r="C85" s="2192"/>
      <c r="D85" s="2192"/>
      <c r="E85" s="2192"/>
      <c r="F85" s="2192"/>
      <c r="G85" s="2192"/>
      <c r="H85" s="2192"/>
      <c r="I85" s="2192"/>
      <c r="J85" s="907"/>
    </row>
    <row r="86" spans="1:11" ht="62.25" customHeight="1" x14ac:dyDescent="0.35">
      <c r="A86" s="2508"/>
      <c r="B86" s="2192"/>
      <c r="C86" s="2192"/>
      <c r="D86" s="2192"/>
      <c r="E86" s="2192"/>
      <c r="F86" s="2192"/>
      <c r="G86" s="2192"/>
      <c r="H86" s="2192"/>
      <c r="I86" s="2192"/>
      <c r="J86" s="907"/>
    </row>
    <row r="87" spans="1:11" x14ac:dyDescent="0.35">
      <c r="B87" s="2592" t="s">
        <v>2178</v>
      </c>
      <c r="C87" s="2592"/>
      <c r="D87" s="2592"/>
      <c r="E87" s="2592"/>
      <c r="F87" s="4"/>
      <c r="G87" s="4"/>
      <c r="H87" s="4"/>
      <c r="I87" s="4"/>
      <c r="J87" s="208"/>
    </row>
    <row r="88" spans="1:11" x14ac:dyDescent="0.35">
      <c r="B88" s="2721" t="s">
        <v>2179</v>
      </c>
      <c r="C88" s="2893"/>
      <c r="D88" s="2722"/>
      <c r="E88" s="1062" t="s">
        <v>140</v>
      </c>
      <c r="F88" s="4"/>
      <c r="G88" s="4"/>
      <c r="H88" s="4"/>
      <c r="I88" s="4"/>
      <c r="J88" s="208"/>
    </row>
    <row r="89" spans="1:11" x14ac:dyDescent="0.35">
      <c r="B89" s="2865" t="s">
        <v>2265</v>
      </c>
      <c r="C89" s="2866"/>
      <c r="D89" s="2867"/>
      <c r="E89" s="1065">
        <v>11431644723</v>
      </c>
      <c r="F89" s="4"/>
      <c r="G89" s="4"/>
      <c r="H89" s="4"/>
      <c r="I89" s="4"/>
      <c r="J89" s="208"/>
      <c r="K89" s="544"/>
    </row>
    <row r="90" spans="1:11" x14ac:dyDescent="0.35">
      <c r="B90" s="2865" t="s">
        <v>2269</v>
      </c>
      <c r="C90" s="2866"/>
      <c r="D90" s="2867"/>
      <c r="E90" s="1065">
        <v>-3299999</v>
      </c>
      <c r="F90" s="4"/>
      <c r="G90" s="4"/>
      <c r="H90" s="4"/>
      <c r="I90" s="4"/>
      <c r="J90" s="208"/>
      <c r="K90" s="544"/>
    </row>
    <row r="91" spans="1:11" x14ac:dyDescent="0.35">
      <c r="B91" s="2865" t="s">
        <v>312</v>
      </c>
      <c r="C91" s="2866"/>
      <c r="D91" s="2867"/>
      <c r="E91" s="1065">
        <v>0</v>
      </c>
      <c r="F91" s="4"/>
      <c r="G91" s="4"/>
      <c r="H91" s="4"/>
      <c r="I91" s="4"/>
      <c r="J91" s="208"/>
      <c r="K91" s="544"/>
    </row>
    <row r="92" spans="1:11" x14ac:dyDescent="0.35">
      <c r="B92" s="2865" t="s">
        <v>306</v>
      </c>
      <c r="C92" s="2866"/>
      <c r="D92" s="2867"/>
      <c r="E92" s="1065">
        <v>0</v>
      </c>
      <c r="F92" s="4"/>
      <c r="G92" s="4"/>
      <c r="H92" s="4"/>
      <c r="I92" s="4"/>
      <c r="J92" s="208"/>
      <c r="K92" s="544"/>
    </row>
    <row r="93" spans="1:11" x14ac:dyDescent="0.35">
      <c r="B93" s="2865" t="s">
        <v>2266</v>
      </c>
      <c r="C93" s="2866"/>
      <c r="D93" s="2867"/>
      <c r="E93" s="1065">
        <v>0</v>
      </c>
      <c r="F93" s="4"/>
      <c r="G93" s="4"/>
      <c r="H93" s="4"/>
      <c r="I93" s="4"/>
      <c r="J93" s="208"/>
      <c r="K93" s="544"/>
    </row>
    <row r="94" spans="1:11" x14ac:dyDescent="0.35">
      <c r="B94" s="2865" t="s">
        <v>2185</v>
      </c>
      <c r="C94" s="2866"/>
      <c r="D94" s="2867"/>
      <c r="E94" s="1065">
        <v>0</v>
      </c>
      <c r="F94" s="4"/>
      <c r="G94" s="4"/>
      <c r="H94" s="4"/>
      <c r="I94" s="4"/>
      <c r="J94" s="208"/>
    </row>
    <row r="95" spans="1:11" x14ac:dyDescent="0.35">
      <c r="B95" s="2865" t="s">
        <v>2267</v>
      </c>
      <c r="C95" s="2866"/>
      <c r="D95" s="2867"/>
      <c r="E95" s="1065">
        <v>0</v>
      </c>
      <c r="F95" s="4"/>
      <c r="G95" s="4"/>
      <c r="H95" s="4"/>
      <c r="I95" s="4"/>
      <c r="J95" s="208"/>
    </row>
    <row r="96" spans="1:11" x14ac:dyDescent="0.35">
      <c r="B96" s="2865" t="s">
        <v>2268</v>
      </c>
      <c r="C96" s="2866"/>
      <c r="D96" s="2867"/>
      <c r="E96" s="1065">
        <v>0</v>
      </c>
      <c r="F96" s="4"/>
      <c r="G96" s="4"/>
      <c r="H96" s="4"/>
      <c r="I96" s="4"/>
      <c r="J96" s="208"/>
    </row>
    <row r="97" spans="1:15" x14ac:dyDescent="0.35">
      <c r="B97" s="2876" t="s">
        <v>116</v>
      </c>
      <c r="C97" s="2877"/>
      <c r="D97" s="2878"/>
      <c r="E97" s="1066">
        <f>E89+E90</f>
        <v>11428344724</v>
      </c>
      <c r="F97" s="4"/>
      <c r="G97" s="4"/>
      <c r="H97" s="4"/>
      <c r="I97" s="4"/>
      <c r="J97" s="208"/>
    </row>
    <row r="98" spans="1:15" x14ac:dyDescent="0.35">
      <c r="B98" s="439"/>
      <c r="C98" s="439"/>
      <c r="D98" s="439"/>
      <c r="E98" s="439"/>
      <c r="F98" s="4"/>
      <c r="G98" s="4"/>
      <c r="H98" s="4"/>
      <c r="I98" s="4"/>
      <c r="J98" s="208"/>
    </row>
    <row r="99" spans="1:15" x14ac:dyDescent="0.35">
      <c r="B99" s="439"/>
      <c r="C99" s="439"/>
      <c r="D99" s="439"/>
      <c r="E99" s="439"/>
      <c r="F99" s="4"/>
      <c r="G99" s="4"/>
      <c r="H99" s="4"/>
      <c r="I99" s="4"/>
      <c r="J99" s="208"/>
    </row>
    <row r="100" spans="1:15" x14ac:dyDescent="0.35">
      <c r="B100" s="1347" t="s">
        <v>2186</v>
      </c>
      <c r="C100" s="439"/>
      <c r="D100" s="439"/>
      <c r="E100" s="439"/>
      <c r="F100" s="4"/>
      <c r="G100" s="4"/>
      <c r="H100" s="4"/>
      <c r="I100" s="4"/>
      <c r="J100" s="208"/>
    </row>
    <row r="101" spans="1:15" x14ac:dyDescent="0.35">
      <c r="B101" s="439"/>
      <c r="C101" s="439"/>
      <c r="D101" s="439"/>
      <c r="E101" s="439"/>
      <c r="F101" s="4"/>
      <c r="G101" s="4"/>
      <c r="H101" s="4"/>
      <c r="I101" s="4"/>
      <c r="J101" s="208"/>
    </row>
    <row r="102" spans="1:15" x14ac:dyDescent="0.35">
      <c r="B102" s="902" t="s">
        <v>2187</v>
      </c>
      <c r="C102" s="439"/>
      <c r="D102" s="439"/>
      <c r="E102" s="439"/>
      <c r="F102" s="4"/>
      <c r="G102" s="4"/>
      <c r="H102" s="4"/>
      <c r="I102" s="4"/>
      <c r="J102" s="208"/>
    </row>
    <row r="103" spans="1:15" x14ac:dyDescent="0.35">
      <c r="B103" s="2192" t="str">
        <f>"Diterima dari Entitas Lain/Ditagihkan ke Entitas Lain merupakan transaksi antar entitas atas pendapatan dan belanja pada KL yang melibatkan kas negara (BUN). Pada periode hingga "&amp;Input!$Q$24&amp;", DDEL sebesar "&amp;TEXT($E$90,"Rp#.##0")&amp;" sedangkan DKEL sebesar  "&amp;TEXT($E$89,"Rp#.##0")&amp;"."</f>
        <v>Diterima dari Entitas Lain/Ditagihkan ke Entitas Lain merupakan transaksi antar entitas atas pendapatan dan belanja pada KL yang melibatkan kas negara (BUN). Pada periode hingga 31 Desember 2019, DDEL sebesar -Rp3.299.999 sedangkan DKEL sebesar  Rp11.431.644.723.</v>
      </c>
      <c r="C103" s="2192"/>
      <c r="D103" s="2192"/>
      <c r="E103" s="2192"/>
      <c r="F103" s="2192"/>
      <c r="G103" s="2192"/>
      <c r="H103" s="2192"/>
      <c r="I103" s="2192"/>
      <c r="J103" s="208"/>
    </row>
    <row r="104" spans="1:15" ht="39" customHeight="1" x14ac:dyDescent="0.35">
      <c r="B104" s="2192"/>
      <c r="C104" s="2192"/>
      <c r="D104" s="2192"/>
      <c r="E104" s="2192"/>
      <c r="F104" s="2192"/>
      <c r="G104" s="2192"/>
      <c r="H104" s="2192"/>
      <c r="I104" s="2192"/>
      <c r="J104" s="208"/>
    </row>
    <row r="105" spans="1:15" x14ac:dyDescent="0.35">
      <c r="B105" s="439"/>
      <c r="C105" s="439"/>
      <c r="D105" s="439"/>
      <c r="E105" s="439"/>
      <c r="F105" s="4"/>
      <c r="G105" s="4"/>
      <c r="H105" s="4"/>
      <c r="I105" s="4"/>
      <c r="J105" s="208"/>
    </row>
    <row r="106" spans="1:15" x14ac:dyDescent="0.35">
      <c r="B106" s="902" t="s">
        <v>2188</v>
      </c>
      <c r="C106" s="439"/>
      <c r="D106" s="439"/>
      <c r="E106" s="439"/>
      <c r="F106" s="4"/>
      <c r="G106" s="4"/>
      <c r="H106" s="4"/>
      <c r="I106" s="4"/>
      <c r="J106" s="208"/>
    </row>
    <row r="107" spans="1:15" x14ac:dyDescent="0.35">
      <c r="B107" s="2192" t="str">
        <f>"Transfer Masuk/Transfer Keluar merupakan perpindahan aset/kewajiban dari satu entitas ke entitas lain pada internal KL, antar KL dan antara KL dengan BA-BUN. Transfer Masuk sampai dengan "&amp;Input!$Q$24&amp;" sebesar  "&amp;TEXT($E$92,"Rp#.##0")&amp;" terdiri dari :"</f>
        <v>Transfer Masuk/Transfer Keluar merupakan perpindahan aset/kewajiban dari satu entitas ke entitas lain pada internal KL, antar KL dan antara KL dengan BA-BUN. Transfer Masuk sampai dengan 31 Desember 2019 sebesar  Rp0 terdiri dari :</v>
      </c>
      <c r="C107" s="2192"/>
      <c r="D107" s="2192"/>
      <c r="E107" s="2192"/>
      <c r="F107" s="2192"/>
      <c r="G107" s="2192"/>
      <c r="H107" s="2192"/>
      <c r="I107" s="2192"/>
      <c r="J107" s="208"/>
    </row>
    <row r="108" spans="1:15" ht="37.5" customHeight="1" x14ac:dyDescent="0.35">
      <c r="B108" s="2192"/>
      <c r="C108" s="2192"/>
      <c r="D108" s="2192"/>
      <c r="E108" s="2192"/>
      <c r="F108" s="2192"/>
      <c r="G108" s="2192"/>
      <c r="H108" s="2192"/>
      <c r="I108" s="2192"/>
      <c r="J108" s="208"/>
    </row>
    <row r="109" spans="1:15" x14ac:dyDescent="0.35">
      <c r="B109" s="1327" t="s">
        <v>112</v>
      </c>
      <c r="C109" s="1334" t="s">
        <v>2189</v>
      </c>
      <c r="D109" s="2593" t="s">
        <v>2190</v>
      </c>
      <c r="E109" s="2595"/>
      <c r="F109" s="2879" t="s">
        <v>140</v>
      </c>
      <c r="G109" s="2880"/>
      <c r="H109" s="2880"/>
      <c r="I109" s="2881"/>
      <c r="J109" s="4"/>
      <c r="K109" s="4"/>
      <c r="L109" s="4"/>
      <c r="M109" s="4"/>
      <c r="N109" s="208"/>
      <c r="O109" s="465"/>
    </row>
    <row r="110" spans="1:15" x14ac:dyDescent="0.35">
      <c r="A110" s="469"/>
      <c r="B110" s="919">
        <v>1</v>
      </c>
      <c r="C110" s="1346" t="s">
        <v>80</v>
      </c>
      <c r="D110" s="2891"/>
      <c r="E110" s="2892"/>
      <c r="F110" s="2882">
        <v>0</v>
      </c>
      <c r="G110" s="2883"/>
      <c r="H110" s="2883"/>
      <c r="I110" s="2884"/>
      <c r="J110" s="466"/>
      <c r="K110" s="466"/>
      <c r="L110" s="466"/>
      <c r="M110" s="466"/>
      <c r="N110" s="471"/>
      <c r="O110" s="465"/>
    </row>
    <row r="111" spans="1:15" x14ac:dyDescent="0.35">
      <c r="A111" s="469"/>
      <c r="B111" s="919">
        <v>2</v>
      </c>
      <c r="C111" s="1346" t="s">
        <v>80</v>
      </c>
      <c r="D111" s="2891"/>
      <c r="E111" s="2892"/>
      <c r="F111" s="2882">
        <v>0</v>
      </c>
      <c r="G111" s="2883"/>
      <c r="H111" s="2883"/>
      <c r="I111" s="2884"/>
      <c r="J111" s="1365"/>
      <c r="K111" s="1365"/>
      <c r="L111" s="1365"/>
      <c r="M111" s="1365"/>
      <c r="N111" s="471"/>
      <c r="O111" s="544"/>
    </row>
    <row r="112" spans="1:15" x14ac:dyDescent="0.35">
      <c r="A112" s="469"/>
      <c r="B112" s="919">
        <v>3</v>
      </c>
      <c r="C112" s="1346" t="s">
        <v>80</v>
      </c>
      <c r="D112" s="2891"/>
      <c r="E112" s="2892"/>
      <c r="F112" s="2882">
        <v>0</v>
      </c>
      <c r="G112" s="2883"/>
      <c r="H112" s="2883"/>
      <c r="I112" s="2884"/>
      <c r="J112" s="1365"/>
      <c r="K112" s="1365"/>
      <c r="L112" s="1365"/>
      <c r="M112" s="1365"/>
      <c r="N112" s="471"/>
      <c r="O112" s="544"/>
    </row>
    <row r="113" spans="1:15" ht="32.25" customHeight="1" x14ac:dyDescent="0.35">
      <c r="A113" s="469"/>
      <c r="B113" s="1396">
        <v>4</v>
      </c>
      <c r="C113" s="1403" t="s">
        <v>2270</v>
      </c>
      <c r="D113" s="2900"/>
      <c r="E113" s="2901"/>
      <c r="F113" s="2888">
        <v>0</v>
      </c>
      <c r="G113" s="2889"/>
      <c r="H113" s="2889"/>
      <c r="I113" s="2890"/>
      <c r="J113" s="1365"/>
      <c r="K113" s="1365"/>
      <c r="L113" s="1365"/>
      <c r="M113" s="1365"/>
      <c r="N113" s="471"/>
      <c r="O113" s="544"/>
    </row>
    <row r="114" spans="1:15" x14ac:dyDescent="0.35">
      <c r="A114" s="469"/>
      <c r="B114" s="919">
        <v>5</v>
      </c>
      <c r="C114" s="1346" t="s">
        <v>82</v>
      </c>
      <c r="D114" s="2891"/>
      <c r="E114" s="2892"/>
      <c r="F114" s="2882">
        <v>0</v>
      </c>
      <c r="G114" s="2883"/>
      <c r="H114" s="2883"/>
      <c r="I114" s="2884"/>
      <c r="J114" s="466"/>
      <c r="K114" s="466"/>
      <c r="L114" s="466"/>
      <c r="M114" s="466"/>
      <c r="N114" s="471"/>
      <c r="O114" s="465"/>
    </row>
    <row r="115" spans="1:15" x14ac:dyDescent="0.35">
      <c r="A115" s="469"/>
      <c r="B115" s="919">
        <v>6</v>
      </c>
      <c r="C115" s="1346" t="s">
        <v>77</v>
      </c>
      <c r="D115" s="2891"/>
      <c r="E115" s="2892"/>
      <c r="F115" s="2882">
        <v>0</v>
      </c>
      <c r="G115" s="2883"/>
      <c r="H115" s="2883"/>
      <c r="I115" s="2884"/>
      <c r="J115" s="466"/>
      <c r="K115" s="466"/>
      <c r="L115" s="466"/>
      <c r="M115" s="466"/>
      <c r="N115" s="471"/>
      <c r="O115" s="465"/>
    </row>
    <row r="116" spans="1:15" x14ac:dyDescent="0.35">
      <c r="A116" s="469"/>
      <c r="B116" s="2876" t="s">
        <v>116</v>
      </c>
      <c r="C116" s="2877"/>
      <c r="D116" s="2877"/>
      <c r="E116" s="2878"/>
      <c r="F116" s="2885">
        <f>SUM(F110:I115)</f>
        <v>0</v>
      </c>
      <c r="G116" s="2886"/>
      <c r="H116" s="2886"/>
      <c r="I116" s="2887"/>
      <c r="J116" s="466"/>
      <c r="K116" s="466"/>
      <c r="L116" s="466"/>
      <c r="M116" s="466"/>
      <c r="N116" s="471"/>
      <c r="O116" s="465"/>
    </row>
    <row r="117" spans="1:15" x14ac:dyDescent="0.35">
      <c r="A117" s="469"/>
      <c r="B117" s="466"/>
      <c r="C117" s="466"/>
      <c r="D117" s="466"/>
      <c r="E117" s="466"/>
      <c r="F117" s="466"/>
      <c r="G117" s="466"/>
      <c r="H117" s="466"/>
      <c r="I117" s="466"/>
      <c r="J117" s="471"/>
    </row>
    <row r="118" spans="1:15" ht="31.5" customHeight="1" x14ac:dyDescent="0.35">
      <c r="A118" s="469"/>
      <c r="B118" s="2179" t="str">
        <f>"Sedangkan Transfer Keluar sampai dengan "&amp;Input!$Q$24&amp;" sebesar "&amp;TEXT($E$91,"Rp#.##0")&amp;"."</f>
        <v>Sedangkan Transfer Keluar sampai dengan 31 Desember 2019 sebesar Rp0.</v>
      </c>
      <c r="C118" s="2179"/>
      <c r="D118" s="2179"/>
      <c r="E118" s="2179"/>
      <c r="F118" s="2179"/>
      <c r="G118" s="2179"/>
      <c r="H118" s="2179"/>
      <c r="I118" s="2179"/>
      <c r="J118" s="471"/>
    </row>
    <row r="119" spans="1:15" x14ac:dyDescent="0.35">
      <c r="B119" s="902" t="s">
        <v>2191</v>
      </c>
      <c r="C119" s="439"/>
      <c r="D119" s="439"/>
      <c r="E119" s="439"/>
      <c r="F119" s="4"/>
      <c r="G119" s="4"/>
      <c r="H119" s="4"/>
      <c r="I119" s="4"/>
    </row>
    <row r="120" spans="1:15" x14ac:dyDescent="0.35">
      <c r="B120" s="2192" t="str">
        <f>"Pengesahan Hibah Langsung merupakan transaksi atas pencatatan hibah langsung KL dalam bentuk kas, barang maupun jasa sedangkan pencatatan hibah dilakukan oleh BA-BUN. Pengesahan Hibah Langsung sampai dengan "&amp;Input!$Q$24&amp;" sebesar "&amp;TEXT($E$94,"Rp#.##0")&amp;"."</f>
        <v>Pengesahan Hibah Langsung merupakan transaksi atas pencatatan hibah langsung KL dalam bentuk kas, barang maupun jasa sedangkan pencatatan hibah dilakukan oleh BA-BUN. Pengesahan Hibah Langsung sampai dengan 31 Desember 2019 sebesar Rp0.</v>
      </c>
      <c r="C120" s="2192"/>
      <c r="D120" s="2192"/>
      <c r="E120" s="2192"/>
      <c r="F120" s="2192"/>
      <c r="G120" s="2192"/>
      <c r="H120" s="2192"/>
      <c r="I120" s="2192"/>
    </row>
    <row r="121" spans="1:15" ht="39.75" customHeight="1" x14ac:dyDescent="0.35">
      <c r="B121" s="2192"/>
      <c r="C121" s="2192"/>
      <c r="D121" s="2192"/>
      <c r="E121" s="2192"/>
      <c r="F121" s="2192"/>
      <c r="G121" s="2192"/>
      <c r="H121" s="2192"/>
      <c r="I121" s="2192"/>
    </row>
    <row r="122" spans="1:15" ht="39.75" customHeight="1" x14ac:dyDescent="0.35">
      <c r="B122" s="2192" t="str">
        <f>"Pengesahan Pengembalian Hibah Langsung merupakan transaksi atas pencatatan pengembalian hibah langsung entitas. Pengesahan Pengembalian Hibah Langsung sampai dengan "&amp;Input!$Q$24&amp;" sebesar "&amp;TEXT($E$95,"Rp#.##0")&amp;"."</f>
        <v>Pengesahan Pengembalian Hibah Langsung merupakan transaksi atas pencatatan pengembalian hibah langsung entitas. Pengesahan Pengembalian Hibah Langsung sampai dengan 31 Desember 2019 sebesar Rp0.</v>
      </c>
      <c r="C122" s="2192"/>
      <c r="D122" s="2192"/>
      <c r="E122" s="2192"/>
      <c r="F122" s="2192"/>
      <c r="G122" s="2192"/>
      <c r="H122" s="2192"/>
      <c r="I122" s="2192"/>
    </row>
    <row r="123" spans="1:15" x14ac:dyDescent="0.35">
      <c r="B123" s="2192"/>
      <c r="C123" s="2192"/>
      <c r="D123" s="2192"/>
      <c r="E123" s="2192"/>
      <c r="F123" s="2192"/>
      <c r="G123" s="2192"/>
      <c r="H123" s="2192"/>
      <c r="I123" s="2192"/>
    </row>
    <row r="124" spans="1:15" x14ac:dyDescent="0.35">
      <c r="B124" s="2509" t="str">
        <f>"Rincian Pengesahan Hibah untuk Tahun "&amp;Input!$Y$24&amp;" adalah sebagai berikut :"</f>
        <v>Rincian Pengesahan Hibah untuk Tahun 2019 adalah sebagai berikut :</v>
      </c>
      <c r="C124" s="2509"/>
      <c r="D124" s="2509"/>
      <c r="E124" s="2509"/>
      <c r="F124" s="2509"/>
      <c r="G124" s="2509"/>
      <c r="H124" s="2509"/>
      <c r="I124" s="2509"/>
      <c r="K124" s="544"/>
    </row>
    <row r="125" spans="1:15" x14ac:dyDescent="0.35">
      <c r="B125" s="1327" t="s">
        <v>112</v>
      </c>
      <c r="C125" s="1334" t="s">
        <v>2194</v>
      </c>
      <c r="D125" s="956" t="s">
        <v>2195</v>
      </c>
      <c r="E125" s="1062" t="s">
        <v>2196</v>
      </c>
      <c r="F125" s="1325"/>
      <c r="G125" s="1325"/>
      <c r="H125" s="1325"/>
      <c r="I125" s="1325"/>
      <c r="K125" s="544"/>
    </row>
    <row r="126" spans="1:15" x14ac:dyDescent="0.35">
      <c r="B126" s="919">
        <v>1</v>
      </c>
      <c r="C126" s="1346"/>
      <c r="D126" s="1348"/>
      <c r="E126" s="1065">
        <v>0</v>
      </c>
      <c r="F126" s="1325"/>
      <c r="G126" s="1325"/>
      <c r="H126" s="1325"/>
      <c r="I126" s="1325"/>
      <c r="K126" s="544"/>
    </row>
    <row r="127" spans="1:15" x14ac:dyDescent="0.35">
      <c r="B127" s="919">
        <v>2</v>
      </c>
      <c r="C127" s="1346"/>
      <c r="D127" s="1348"/>
      <c r="E127" s="1065">
        <v>0</v>
      </c>
      <c r="F127" s="1325"/>
      <c r="G127" s="1325"/>
      <c r="H127" s="1325"/>
      <c r="I127" s="1325"/>
      <c r="K127" s="544"/>
    </row>
    <row r="128" spans="1:15" x14ac:dyDescent="0.35">
      <c r="B128" s="919">
        <v>3</v>
      </c>
      <c r="C128" s="1346"/>
      <c r="D128" s="1348"/>
      <c r="E128" s="1065">
        <v>0</v>
      </c>
      <c r="F128" s="1325"/>
      <c r="G128" s="1325"/>
      <c r="H128" s="1325"/>
      <c r="I128" s="1325"/>
      <c r="K128" s="544"/>
    </row>
    <row r="129" spans="1:11" x14ac:dyDescent="0.35">
      <c r="B129" s="2874" t="s">
        <v>2197</v>
      </c>
      <c r="C129" s="2874"/>
      <c r="D129" s="2874"/>
      <c r="E129" s="1350">
        <f>SUM(E126:E128)</f>
        <v>0</v>
      </c>
      <c r="F129" s="1325"/>
      <c r="G129" s="1325"/>
      <c r="H129" s="1325"/>
      <c r="I129" s="1325"/>
      <c r="K129" s="544"/>
    </row>
    <row r="130" spans="1:11" x14ac:dyDescent="0.35">
      <c r="B130" s="2875" t="s">
        <v>2198</v>
      </c>
      <c r="C130" s="2875"/>
      <c r="D130" s="2875"/>
      <c r="E130" s="1404">
        <v>0</v>
      </c>
      <c r="F130" s="1325"/>
      <c r="G130" s="1325"/>
      <c r="H130" s="1325"/>
      <c r="I130" s="1325"/>
      <c r="K130" s="544"/>
    </row>
    <row r="131" spans="1:11" x14ac:dyDescent="0.35">
      <c r="B131" s="2869" t="s">
        <v>116</v>
      </c>
      <c r="C131" s="2869"/>
      <c r="D131" s="2869"/>
      <c r="E131" s="1405">
        <f>E129+E130</f>
        <v>0</v>
      </c>
      <c r="F131" s="1325"/>
      <c r="G131" s="1325"/>
      <c r="H131" s="1325"/>
      <c r="I131" s="1325"/>
      <c r="K131" s="544"/>
    </row>
    <row r="132" spans="1:11" x14ac:dyDescent="0.35">
      <c r="B132" s="1349"/>
      <c r="C132" s="1349"/>
      <c r="D132" s="1349"/>
      <c r="E132" s="1325"/>
      <c r="F132" s="1325"/>
      <c r="G132" s="1325"/>
      <c r="H132" s="1325"/>
      <c r="I132" s="1325"/>
      <c r="K132" s="544"/>
    </row>
    <row r="133" spans="1:11" x14ac:dyDescent="0.35">
      <c r="B133" s="2870" t="s">
        <v>2325</v>
      </c>
      <c r="C133" s="2870"/>
      <c r="D133" s="2870"/>
      <c r="E133" s="2870"/>
      <c r="F133" s="2870"/>
      <c r="G133" s="2870"/>
      <c r="H133" s="2870"/>
      <c r="I133" s="2870"/>
    </row>
    <row r="136" spans="1:11" x14ac:dyDescent="0.35">
      <c r="A136" s="2508" t="str">
        <f>"Ekuitas Akhir "&amp;TEXT(Input!$L$821,"Rp#.##0")</f>
        <v>Ekuitas Akhir Rp23.766.101.180</v>
      </c>
      <c r="B136" s="902" t="s">
        <v>2173</v>
      </c>
      <c r="C136" s="738"/>
      <c r="D136" s="738"/>
      <c r="E136" s="738"/>
      <c r="F136" s="738"/>
      <c r="G136" s="738"/>
      <c r="H136" s="738"/>
      <c r="I136" s="738"/>
    </row>
    <row r="137" spans="1:11" hidden="1" x14ac:dyDescent="0.35">
      <c r="A137" s="2508"/>
      <c r="B137" s="720"/>
      <c r="C137" s="904"/>
      <c r="D137" s="904"/>
      <c r="E137" s="904"/>
      <c r="F137" s="904"/>
      <c r="G137" s="904"/>
      <c r="H137" s="904"/>
      <c r="I137" s="904"/>
    </row>
    <row r="138" spans="1:11" x14ac:dyDescent="0.35">
      <c r="A138" s="2508"/>
      <c r="B138" s="2192" t="str">
        <f>"Nilai Ekuitas pada tanggal "&amp;Input!$Q$24&amp;" dan "&amp;Input!$M$25&amp;" masing-masing sebesar "&amp;TEXT(Input!$L$821,"Rp#.##0")&amp;" dan "&amp;TEXT(Input!$M$821,"Rp#.##0")&amp;". "</f>
        <v xml:space="preserve">Nilai Ekuitas pada tanggal 31 Desember 2019 dan 31 Desember 2018 masing-masing sebesar Rp23.766.101.180 dan Rp23.189.043.788. </v>
      </c>
      <c r="C138" s="2192"/>
      <c r="D138" s="2192"/>
      <c r="E138" s="2192"/>
      <c r="F138" s="2192"/>
      <c r="G138" s="2192"/>
      <c r="H138" s="2192"/>
      <c r="I138" s="2192"/>
    </row>
    <row r="139" spans="1:11" x14ac:dyDescent="0.35">
      <c r="A139" s="2508"/>
      <c r="B139" s="2192"/>
      <c r="C139" s="2192"/>
      <c r="D139" s="2192"/>
      <c r="E139" s="2192"/>
      <c r="F139" s="2192"/>
      <c r="G139" s="2192"/>
      <c r="H139" s="2192"/>
      <c r="I139" s="2192"/>
    </row>
  </sheetData>
  <mergeCells count="86">
    <mergeCell ref="B97:D97"/>
    <mergeCell ref="D114:E114"/>
    <mergeCell ref="D115:E115"/>
    <mergeCell ref="D112:E112"/>
    <mergeCell ref="D111:E111"/>
    <mergeCell ref="D113:E113"/>
    <mergeCell ref="A43:A47"/>
    <mergeCell ref="A52:A57"/>
    <mergeCell ref="A67:A72"/>
    <mergeCell ref="A83:A86"/>
    <mergeCell ref="B81:D81"/>
    <mergeCell ref="B85:I86"/>
    <mergeCell ref="B76:D76"/>
    <mergeCell ref="B69:I72"/>
    <mergeCell ref="B74:E74"/>
    <mergeCell ref="B75:D75"/>
    <mergeCell ref="B77:D77"/>
    <mergeCell ref="B78:D78"/>
    <mergeCell ref="B79:D79"/>
    <mergeCell ref="B80:D80"/>
    <mergeCell ref="A1:I1"/>
    <mergeCell ref="B35:E35"/>
    <mergeCell ref="B7:I8"/>
    <mergeCell ref="B12:I14"/>
    <mergeCell ref="B30:I33"/>
    <mergeCell ref="B24:I25"/>
    <mergeCell ref="A5:A8"/>
    <mergeCell ref="A10:A14"/>
    <mergeCell ref="A22:A25"/>
    <mergeCell ref="A28:A33"/>
    <mergeCell ref="B26:I26"/>
    <mergeCell ref="B18:I19"/>
    <mergeCell ref="B20:I20"/>
    <mergeCell ref="A16:A20"/>
    <mergeCell ref="B41:D41"/>
    <mergeCell ref="B45:I47"/>
    <mergeCell ref="B54:I57"/>
    <mergeCell ref="B59:E59"/>
    <mergeCell ref="B64:D64"/>
    <mergeCell ref="B48:C48"/>
    <mergeCell ref="B49:C49"/>
    <mergeCell ref="B50:C50"/>
    <mergeCell ref="B51:D51"/>
    <mergeCell ref="B58:I58"/>
    <mergeCell ref="B87:E87"/>
    <mergeCell ref="B88:D88"/>
    <mergeCell ref="B94:D94"/>
    <mergeCell ref="B95:D95"/>
    <mergeCell ref="B96:D96"/>
    <mergeCell ref="B89:D89"/>
    <mergeCell ref="B90:D90"/>
    <mergeCell ref="B91:D91"/>
    <mergeCell ref="B92:D92"/>
    <mergeCell ref="B93:D93"/>
    <mergeCell ref="B118:I118"/>
    <mergeCell ref="B120:I121"/>
    <mergeCell ref="B122:I123"/>
    <mergeCell ref="B103:I104"/>
    <mergeCell ref="B107:I108"/>
    <mergeCell ref="B116:E116"/>
    <mergeCell ref="F109:I109"/>
    <mergeCell ref="F110:I110"/>
    <mergeCell ref="F114:I114"/>
    <mergeCell ref="F115:I115"/>
    <mergeCell ref="F116:I116"/>
    <mergeCell ref="F112:I112"/>
    <mergeCell ref="F111:I111"/>
    <mergeCell ref="F113:I113"/>
    <mergeCell ref="D109:E109"/>
    <mergeCell ref="D110:E110"/>
    <mergeCell ref="B131:D131"/>
    <mergeCell ref="B133:I133"/>
    <mergeCell ref="A136:A139"/>
    <mergeCell ref="B138:I139"/>
    <mergeCell ref="B36:D36"/>
    <mergeCell ref="B37:D37"/>
    <mergeCell ref="B38:D38"/>
    <mergeCell ref="B39:D39"/>
    <mergeCell ref="B40:D40"/>
    <mergeCell ref="B60:D60"/>
    <mergeCell ref="B61:D61"/>
    <mergeCell ref="B62:D62"/>
    <mergeCell ref="B63:D63"/>
    <mergeCell ref="B124:I124"/>
    <mergeCell ref="B129:D129"/>
    <mergeCell ref="B130:D130"/>
  </mergeCells>
  <printOptions horizontalCentered="1"/>
  <pageMargins left="0.31496062992125984" right="0.23622047244094491" top="0.74803149606299213" bottom="0.86614173228346458" header="0.31496062992125984" footer="0.31496062992125984"/>
  <pageSetup paperSize="9" scale="79" firstPageNumber="41" fitToHeight="0" orientation="portrait" useFirstPageNumber="1" r:id="rId1"/>
  <headerFooter>
    <oddFooter>&amp;C&amp;"+,Bold Italic"&amp;K000099&amp;P</oddFooter>
  </headerFooter>
  <rowBreaks count="2" manualBreakCount="2">
    <brk id="51" max="16383" man="1"/>
    <brk id="99" max="16383" man="1"/>
  </row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8"/>
  <sheetViews>
    <sheetView view="pageBreakPreview" zoomScaleSheetLayoutView="100" workbookViewId="0">
      <selection activeCell="B11" sqref="B11"/>
    </sheetView>
  </sheetViews>
  <sheetFormatPr defaultColWidth="10" defaultRowHeight="15.5" x14ac:dyDescent="0.35"/>
  <cols>
    <col min="1" max="1" width="14.08203125" style="470" customWidth="1"/>
    <col min="2" max="2" width="3.83203125" style="465" customWidth="1"/>
    <col min="3" max="3" width="26.33203125" style="465" customWidth="1"/>
    <col min="4" max="4" width="14.75" style="465" customWidth="1"/>
    <col min="5" max="5" width="16.25" style="465" customWidth="1"/>
    <col min="6" max="6" width="9.75" style="465" customWidth="1"/>
    <col min="7" max="8" width="3.08203125" style="465" customWidth="1"/>
    <col min="9" max="9" width="6.08203125" style="465" customWidth="1"/>
    <col min="10" max="10" width="3" style="207" customWidth="1"/>
    <col min="11" max="11" width="9" style="465"/>
    <col min="12" max="12" width="6.83203125" style="468" customWidth="1"/>
    <col min="13" max="13" width="2.5" style="468" customWidth="1"/>
    <col min="14" max="16384" width="10" style="468"/>
  </cols>
  <sheetData>
    <row r="1" spans="1:10" ht="16" x14ac:dyDescent="0.4">
      <c r="A1" s="2902" t="str">
        <f>'2 kata'!B1</f>
        <v>Laporan Keuangan Balai Pelestarian Nilai Budaya Bali Untuk Periode yang Berakhir 31 Desember 2019</v>
      </c>
      <c r="B1" s="2902"/>
      <c r="C1" s="2902"/>
      <c r="D1" s="2902"/>
      <c r="E1" s="2902"/>
      <c r="F1" s="2902"/>
      <c r="G1" s="2902"/>
      <c r="H1" s="2902"/>
      <c r="I1" s="2902"/>
      <c r="J1" s="309"/>
    </row>
    <row r="2" spans="1:10" x14ac:dyDescent="0.35">
      <c r="A2" s="265"/>
      <c r="B2" s="468"/>
      <c r="C2" s="468"/>
      <c r="D2" s="302"/>
      <c r="E2" s="302"/>
      <c r="F2" s="468"/>
      <c r="G2" s="468"/>
      <c r="H2" s="468"/>
      <c r="I2" s="468"/>
    </row>
    <row r="3" spans="1:10" ht="16.5" x14ac:dyDescent="0.35">
      <c r="A3" s="1067"/>
      <c r="B3" s="1063" t="s">
        <v>1834</v>
      </c>
      <c r="C3" s="738"/>
      <c r="D3" s="738"/>
      <c r="E3" s="738"/>
      <c r="F3" s="738"/>
      <c r="G3" s="738"/>
      <c r="H3" s="738"/>
      <c r="I3" s="738"/>
      <c r="J3" s="903"/>
    </row>
    <row r="4" spans="1:10" ht="6" customHeight="1" x14ac:dyDescent="0.35">
      <c r="A4" s="1067"/>
      <c r="B4" s="902"/>
      <c r="C4" s="738"/>
      <c r="D4" s="738"/>
      <c r="E4" s="738"/>
      <c r="F4" s="738"/>
      <c r="G4" s="738"/>
      <c r="H4" s="738"/>
      <c r="I4" s="738"/>
      <c r="J4" s="903"/>
    </row>
    <row r="5" spans="1:10" ht="15.75" customHeight="1" x14ac:dyDescent="0.35">
      <c r="A5" s="1067"/>
      <c r="B5" s="902" t="s">
        <v>1835</v>
      </c>
      <c r="C5" s="738"/>
      <c r="D5" s="738"/>
      <c r="E5" s="738"/>
      <c r="F5" s="738"/>
      <c r="G5" s="738"/>
      <c r="H5" s="738"/>
      <c r="I5" s="738"/>
      <c r="J5" s="903"/>
    </row>
    <row r="6" spans="1:10" ht="7.5" customHeight="1" x14ac:dyDescent="0.35">
      <c r="A6" s="1263"/>
      <c r="B6" s="720"/>
      <c r="C6" s="904"/>
      <c r="D6" s="904"/>
      <c r="E6" s="904"/>
      <c r="F6" s="904"/>
      <c r="G6" s="904"/>
      <c r="H6" s="904"/>
      <c r="I6" s="904"/>
      <c r="J6" s="900"/>
    </row>
    <row r="7" spans="1:10" s="465" customFormat="1" x14ac:dyDescent="0.35">
      <c r="A7" s="1067"/>
      <c r="B7" s="902" t="s">
        <v>1836</v>
      </c>
      <c r="C7" s="738"/>
      <c r="D7" s="738"/>
      <c r="E7" s="738"/>
      <c r="F7" s="738"/>
      <c r="G7" s="738"/>
      <c r="H7" s="738"/>
      <c r="I7" s="738"/>
      <c r="J7" s="907"/>
    </row>
    <row r="8" spans="1:10" s="465" customFormat="1" ht="21.75" customHeight="1" x14ac:dyDescent="0.35">
      <c r="A8" s="1263"/>
      <c r="B8" s="720"/>
      <c r="C8" s="904"/>
      <c r="D8" s="904"/>
      <c r="E8" s="904"/>
      <c r="F8" s="904"/>
      <c r="G8" s="904"/>
      <c r="H8" s="904"/>
      <c r="I8" s="904"/>
      <c r="J8" s="907"/>
    </row>
    <row r="9" spans="1:10" s="465" customFormat="1" ht="46" customHeight="1" x14ac:dyDescent="0.35">
      <c r="A9" s="1068"/>
      <c r="B9" s="813">
        <v>1</v>
      </c>
      <c r="C9" s="2903" t="s">
        <v>2416</v>
      </c>
      <c r="D9" s="2903"/>
      <c r="E9" s="2903"/>
      <c r="F9" s="2903"/>
      <c r="G9" s="2903"/>
      <c r="H9" s="2903"/>
      <c r="I9" s="2903"/>
      <c r="J9" s="2903"/>
    </row>
    <row r="10" spans="1:10" s="465" customFormat="1" ht="40" customHeight="1" x14ac:dyDescent="0.35">
      <c r="A10" s="1068"/>
      <c r="B10" s="813">
        <v>2</v>
      </c>
      <c r="C10" s="2903" t="s">
        <v>2417</v>
      </c>
      <c r="D10" s="2903"/>
      <c r="E10" s="2903"/>
      <c r="F10" s="2903"/>
      <c r="G10" s="2903"/>
      <c r="H10" s="2903"/>
      <c r="I10" s="2903"/>
      <c r="J10" s="2903"/>
    </row>
    <row r="11" spans="1:10" s="544" customFormat="1" ht="19.5" customHeight="1" x14ac:dyDescent="0.35">
      <c r="A11" s="1068"/>
      <c r="B11" s="813"/>
      <c r="C11" s="2905"/>
      <c r="D11" s="2905"/>
      <c r="E11" s="2905"/>
      <c r="F11" s="2905"/>
      <c r="G11" s="2905"/>
      <c r="H11" s="2905"/>
      <c r="I11" s="2905"/>
      <c r="J11" s="2905"/>
    </row>
    <row r="12" spans="1:10" s="465" customFormat="1" ht="36" customHeight="1" x14ac:dyDescent="0.35">
      <c r="A12" s="1068"/>
      <c r="B12" s="813"/>
      <c r="C12" s="2904"/>
      <c r="D12" s="2904"/>
      <c r="E12" s="2904"/>
      <c r="F12" s="2904"/>
      <c r="G12" s="2904"/>
      <c r="H12" s="2904"/>
      <c r="I12" s="2904"/>
      <c r="J12" s="2904"/>
    </row>
    <row r="13" spans="1:10" s="544" customFormat="1" ht="36" customHeight="1" x14ac:dyDescent="0.35">
      <c r="A13" s="1068"/>
      <c r="B13" s="813"/>
      <c r="C13" s="2193"/>
      <c r="D13" s="2193"/>
      <c r="E13" s="2193"/>
      <c r="F13" s="2193"/>
      <c r="G13" s="2193"/>
      <c r="H13" s="2193"/>
      <c r="I13" s="2193"/>
      <c r="J13" s="2193"/>
    </row>
    <row r="14" spans="1:10" s="465" customFormat="1" x14ac:dyDescent="0.35">
      <c r="A14" s="1068"/>
      <c r="B14" s="1069"/>
      <c r="C14" s="1071"/>
      <c r="D14" s="1070"/>
      <c r="E14" s="1071"/>
      <c r="F14" s="906"/>
      <c r="G14" s="906"/>
      <c r="H14" s="906"/>
      <c r="I14" s="906"/>
      <c r="J14" s="907"/>
    </row>
    <row r="15" spans="1:10" s="465" customFormat="1" x14ac:dyDescent="0.35">
      <c r="A15" s="477"/>
      <c r="B15" s="439"/>
      <c r="C15" s="439"/>
      <c r="D15" s="439"/>
      <c r="E15" s="439"/>
      <c r="F15" s="4"/>
      <c r="G15" s="4"/>
      <c r="H15" s="4"/>
      <c r="I15" s="4"/>
      <c r="J15" s="208"/>
    </row>
    <row r="16" spans="1:10" s="465" customFormat="1" x14ac:dyDescent="0.35">
      <c r="A16" s="477"/>
      <c r="B16" s="439"/>
      <c r="C16" s="439"/>
      <c r="D16" s="439"/>
      <c r="E16" s="439"/>
      <c r="F16" s="4"/>
      <c r="G16" s="4"/>
      <c r="H16" s="4"/>
      <c r="I16" s="4"/>
      <c r="J16" s="208"/>
    </row>
    <row r="17" spans="1:10" s="465" customFormat="1" x14ac:dyDescent="0.35">
      <c r="A17" s="477"/>
      <c r="B17" s="439"/>
      <c r="C17" s="439"/>
      <c r="D17" s="439"/>
      <c r="E17" s="439"/>
      <c r="F17" s="4"/>
      <c r="G17" s="4"/>
      <c r="H17" s="4"/>
      <c r="I17" s="4"/>
      <c r="J17" s="208"/>
    </row>
    <row r="18" spans="1:10" s="465" customFormat="1" x14ac:dyDescent="0.35">
      <c r="A18" s="477"/>
      <c r="B18" s="439"/>
      <c r="C18" s="439"/>
      <c r="D18" s="439"/>
      <c r="E18" s="439"/>
      <c r="F18" s="4"/>
      <c r="G18" s="4"/>
      <c r="H18" s="4"/>
      <c r="I18" s="4"/>
      <c r="J18" s="208"/>
    </row>
    <row r="19" spans="1:10" s="465" customFormat="1" x14ac:dyDescent="0.35">
      <c r="A19" s="470"/>
      <c r="B19" s="439"/>
      <c r="C19" s="439"/>
      <c r="D19" s="439"/>
      <c r="E19" s="439"/>
      <c r="F19" s="4"/>
      <c r="G19" s="4"/>
      <c r="H19" s="4"/>
      <c r="I19" s="4"/>
      <c r="J19" s="208"/>
    </row>
    <row r="20" spans="1:10" s="465" customFormat="1" x14ac:dyDescent="0.35">
      <c r="A20" s="470"/>
      <c r="B20" s="439"/>
      <c r="C20" s="439"/>
      <c r="D20" s="439"/>
      <c r="E20" s="439"/>
      <c r="F20" s="4"/>
      <c r="G20" s="4"/>
      <c r="H20" s="4"/>
      <c r="I20" s="4"/>
      <c r="J20" s="208"/>
    </row>
    <row r="21" spans="1:10" s="465" customFormat="1" x14ac:dyDescent="0.35">
      <c r="A21" s="470"/>
      <c r="B21" s="439"/>
      <c r="C21" s="439"/>
      <c r="D21" s="439"/>
      <c r="E21" s="439"/>
      <c r="F21" s="4"/>
      <c r="G21" s="4"/>
      <c r="H21" s="4"/>
      <c r="I21" s="4"/>
      <c r="J21" s="208"/>
    </row>
    <row r="22" spans="1:10" s="465" customFormat="1" x14ac:dyDescent="0.35">
      <c r="A22" s="470"/>
      <c r="B22" s="439"/>
      <c r="C22" s="439"/>
      <c r="D22" s="439"/>
      <c r="E22" s="439"/>
      <c r="F22" s="4"/>
      <c r="G22" s="4"/>
      <c r="H22" s="4"/>
      <c r="I22" s="4"/>
      <c r="J22" s="208"/>
    </row>
    <row r="23" spans="1:10" s="465" customFormat="1" x14ac:dyDescent="0.35">
      <c r="A23" s="469"/>
      <c r="B23" s="466"/>
      <c r="C23" s="466"/>
      <c r="D23" s="466"/>
      <c r="E23" s="466"/>
      <c r="F23" s="466"/>
      <c r="G23" s="466"/>
      <c r="H23" s="466"/>
      <c r="I23" s="466"/>
      <c r="J23" s="471"/>
    </row>
    <row r="24" spans="1:10" s="465" customFormat="1" x14ac:dyDescent="0.35">
      <c r="A24" s="469"/>
      <c r="B24" s="466"/>
      <c r="C24" s="466"/>
      <c r="D24" s="466"/>
      <c r="E24" s="466"/>
      <c r="F24" s="466"/>
      <c r="G24" s="466"/>
      <c r="H24" s="466"/>
      <c r="I24" s="466"/>
      <c r="J24" s="471"/>
    </row>
    <row r="25" spans="1:10" s="465" customFormat="1" x14ac:dyDescent="0.35">
      <c r="A25" s="469"/>
      <c r="B25" s="466"/>
      <c r="C25" s="466"/>
      <c r="D25" s="466"/>
      <c r="E25" s="466"/>
      <c r="F25" s="466"/>
      <c r="G25" s="466"/>
      <c r="H25" s="466"/>
      <c r="I25" s="466"/>
      <c r="J25" s="471"/>
    </row>
    <row r="26" spans="1:10" s="465" customFormat="1" x14ac:dyDescent="0.35">
      <c r="A26" s="469"/>
      <c r="B26" s="466"/>
      <c r="C26" s="466"/>
      <c r="D26" s="466"/>
      <c r="E26" s="466"/>
      <c r="F26" s="466"/>
      <c r="G26" s="466"/>
      <c r="H26" s="466"/>
      <c r="I26" s="466"/>
      <c r="J26" s="471"/>
    </row>
    <row r="27" spans="1:10" s="465" customFormat="1" x14ac:dyDescent="0.35">
      <c r="A27" s="469"/>
      <c r="B27" s="466"/>
      <c r="C27" s="466"/>
      <c r="D27" s="466"/>
      <c r="E27" s="466"/>
      <c r="F27" s="466"/>
      <c r="G27" s="466"/>
      <c r="H27" s="466"/>
      <c r="I27" s="466"/>
      <c r="J27" s="471"/>
    </row>
    <row r="28" spans="1:10" s="465" customFormat="1" x14ac:dyDescent="0.35">
      <c r="A28" s="469"/>
      <c r="B28" s="466"/>
      <c r="C28" s="466"/>
      <c r="D28" s="466"/>
      <c r="E28" s="466"/>
      <c r="F28" s="466"/>
      <c r="G28" s="466"/>
      <c r="H28" s="466"/>
      <c r="I28" s="466"/>
      <c r="J28" s="471"/>
    </row>
  </sheetData>
  <mergeCells count="6">
    <mergeCell ref="C13:J13"/>
    <mergeCell ref="A1:I1"/>
    <mergeCell ref="C9:J9"/>
    <mergeCell ref="C10:J10"/>
    <mergeCell ref="C12:J12"/>
    <mergeCell ref="C11:J11"/>
  </mergeCells>
  <printOptions horizontalCentered="1"/>
  <pageMargins left="0.31496062992125984" right="0.23622047244094491" top="0.74803149606299213" bottom="0.86614173228346458" header="0.31496062992125984" footer="0.31496062992125984"/>
  <pageSetup paperSize="9" scale="90" firstPageNumber="44" orientation="portrait" useFirstPageNumber="1" r:id="rId1"/>
  <headerFooter>
    <oddFooter>&amp;C&amp;"+,Bold Italic"&amp;K000099&amp;P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91" zoomScaleNormal="91" workbookViewId="0">
      <selection activeCell="K14" sqref="K14"/>
    </sheetView>
  </sheetViews>
  <sheetFormatPr defaultRowHeight="15.5" x14ac:dyDescent="0.35"/>
  <cols>
    <col min="1" max="1" width="3.83203125" customWidth="1"/>
    <col min="10" max="10" width="8.203125E-2" customWidth="1"/>
  </cols>
  <sheetData>
    <row r="1" spans="1:12" ht="16" x14ac:dyDescent="0.4">
      <c r="A1" s="2902" t="str">
        <f>'2 kata'!B1</f>
        <v>Laporan Keuangan Balai Pelestarian Nilai Budaya Bali Untuk Periode yang Berakhir 31 Desember 2019</v>
      </c>
      <c r="B1" s="2902"/>
      <c r="C1" s="2902"/>
      <c r="D1" s="2902"/>
      <c r="E1" s="2902"/>
      <c r="F1" s="2902"/>
      <c r="G1" s="2902"/>
      <c r="H1" s="2902"/>
      <c r="I1" s="2902"/>
      <c r="J1" s="2902"/>
    </row>
    <row r="2" spans="1:12" x14ac:dyDescent="0.35">
      <c r="A2" s="2227"/>
      <c r="B2" s="2227"/>
      <c r="C2" s="2227"/>
      <c r="D2" s="2227"/>
      <c r="E2" s="2227"/>
      <c r="F2" s="2227"/>
      <c r="G2" s="2227"/>
      <c r="H2" s="2227"/>
      <c r="I2" s="2227"/>
      <c r="J2" s="2227"/>
    </row>
    <row r="3" spans="1:12" ht="15.75" customHeight="1" x14ac:dyDescent="0.35">
      <c r="A3" s="2126" t="s">
        <v>2331</v>
      </c>
      <c r="B3" s="2126"/>
      <c r="C3" s="2126"/>
      <c r="D3" s="2126"/>
      <c r="E3" s="2126"/>
      <c r="F3" s="2126"/>
      <c r="G3" s="2126"/>
      <c r="H3" s="2126"/>
      <c r="I3" s="2126"/>
      <c r="J3" s="1411"/>
    </row>
    <row r="4" spans="1:12" ht="5.25" customHeight="1" x14ac:dyDescent="0.35">
      <c r="A4" s="2126"/>
      <c r="B4" s="2126"/>
      <c r="C4" s="2126"/>
      <c r="D4" s="2126"/>
      <c r="E4" s="2126"/>
      <c r="F4" s="2126"/>
      <c r="G4" s="2126"/>
      <c r="H4" s="2126"/>
      <c r="I4" s="2126"/>
      <c r="J4" s="1411"/>
    </row>
    <row r="6" spans="1:12" x14ac:dyDescent="0.35">
      <c r="A6" s="726" t="s">
        <v>2332</v>
      </c>
      <c r="B6" s="726"/>
      <c r="C6" s="726"/>
      <c r="D6" s="726"/>
      <c r="E6" s="726"/>
      <c r="F6" s="726"/>
      <c r="G6" s="726"/>
      <c r="H6" s="726"/>
      <c r="I6" s="726"/>
      <c r="J6" s="726"/>
    </row>
    <row r="7" spans="1:12" x14ac:dyDescent="0.35">
      <c r="A7" s="1424">
        <v>1</v>
      </c>
      <c r="B7" s="1424" t="s">
        <v>2335</v>
      </c>
      <c r="L7" s="1424"/>
    </row>
    <row r="8" spans="1:12" s="468" customFormat="1" x14ac:dyDescent="0.35">
      <c r="A8" s="1424">
        <v>2</v>
      </c>
      <c r="B8" s="1424" t="s">
        <v>2351</v>
      </c>
      <c r="L8" s="1424"/>
    </row>
    <row r="9" spans="1:12" s="468" customFormat="1" x14ac:dyDescent="0.35">
      <c r="A9" s="1424">
        <v>3</v>
      </c>
      <c r="B9" s="1424" t="s">
        <v>2352</v>
      </c>
      <c r="L9" s="1424"/>
    </row>
    <row r="10" spans="1:12" s="468" customFormat="1" x14ac:dyDescent="0.35">
      <c r="A10" s="1424">
        <v>4</v>
      </c>
      <c r="B10" s="1424" t="s">
        <v>2353</v>
      </c>
      <c r="L10" s="1424"/>
    </row>
    <row r="11" spans="1:12" s="468" customFormat="1" x14ac:dyDescent="0.35">
      <c r="A11" s="1424">
        <v>5</v>
      </c>
      <c r="B11" s="1424" t="s">
        <v>2418</v>
      </c>
      <c r="L11" s="1424"/>
    </row>
    <row r="12" spans="1:12" s="468" customFormat="1" x14ac:dyDescent="0.35">
      <c r="A12" s="1424">
        <v>6</v>
      </c>
      <c r="B12" s="1424" t="s">
        <v>2354</v>
      </c>
      <c r="L12" s="1424"/>
    </row>
    <row r="13" spans="1:12" ht="33" customHeight="1" x14ac:dyDescent="0.35">
      <c r="A13" s="1426">
        <v>7</v>
      </c>
      <c r="B13" s="2907" t="s">
        <v>2355</v>
      </c>
      <c r="C13" s="2907"/>
      <c r="D13" s="2907"/>
      <c r="E13" s="2907"/>
      <c r="F13" s="2907"/>
      <c r="G13" s="2907"/>
      <c r="H13" s="2907"/>
      <c r="I13" s="2907"/>
    </row>
    <row r="14" spans="1:12" ht="69.75" customHeight="1" x14ac:dyDescent="0.35">
      <c r="A14" s="1426">
        <v>8</v>
      </c>
      <c r="B14" s="2906" t="s">
        <v>2356</v>
      </c>
      <c r="C14" s="2906"/>
      <c r="D14" s="2906"/>
      <c r="E14" s="2906"/>
      <c r="F14" s="2906"/>
      <c r="G14" s="2906"/>
      <c r="H14" s="2906"/>
    </row>
    <row r="15" spans="1:12" s="468" customFormat="1" ht="19.5" customHeight="1" x14ac:dyDescent="0.35">
      <c r="A15" s="1426">
        <v>9</v>
      </c>
      <c r="B15" s="2906" t="s">
        <v>2358</v>
      </c>
      <c r="C15" s="2906"/>
      <c r="D15" s="2906"/>
      <c r="E15" s="2906"/>
      <c r="F15" s="2906"/>
      <c r="G15" s="2906"/>
      <c r="H15" s="1445"/>
    </row>
    <row r="16" spans="1:12" s="468" customFormat="1" ht="19.5" customHeight="1" x14ac:dyDescent="0.35">
      <c r="A16" s="1426">
        <v>10</v>
      </c>
      <c r="B16" s="2906" t="s">
        <v>2357</v>
      </c>
      <c r="C16" s="2906"/>
      <c r="D16" s="2906"/>
      <c r="E16" s="2906"/>
      <c r="F16" s="2906"/>
      <c r="G16" s="2906"/>
      <c r="H16" s="1445"/>
    </row>
    <row r="17" spans="1:2" x14ac:dyDescent="0.35">
      <c r="A17" s="1424">
        <v>11</v>
      </c>
      <c r="B17" s="1424" t="s">
        <v>2419</v>
      </c>
    </row>
    <row r="41" spans="5:5" x14ac:dyDescent="0.35">
      <c r="E41" s="727">
        <v>45</v>
      </c>
    </row>
  </sheetData>
  <mergeCells count="7">
    <mergeCell ref="B15:G15"/>
    <mergeCell ref="B16:G16"/>
    <mergeCell ref="B14:H14"/>
    <mergeCell ref="A1:J1"/>
    <mergeCell ref="A2:J2"/>
    <mergeCell ref="A3:I4"/>
    <mergeCell ref="B13:I1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5" x14ac:dyDescent="0.35"/>
  <sheetData>
    <row r="1" spans="1:1" x14ac:dyDescent="0.35">
      <c r="A1" t="s">
        <v>2334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7"/>
  <sheetViews>
    <sheetView topLeftCell="A127" zoomScale="77" zoomScaleNormal="77" workbookViewId="0">
      <selection activeCell="B137" sqref="B137"/>
    </sheetView>
  </sheetViews>
  <sheetFormatPr defaultColWidth="10" defaultRowHeight="15.5" x14ac:dyDescent="0.35"/>
  <cols>
    <col min="1" max="3" width="10" style="416"/>
    <col min="4" max="4" width="50.83203125" style="420" customWidth="1"/>
    <col min="5" max="5" width="5.75" style="416" customWidth="1"/>
    <col min="6" max="6" width="9" style="416"/>
    <col min="7" max="7" width="62.08203125" style="344" customWidth="1"/>
    <col min="8" max="8" width="2.83203125" style="344" customWidth="1"/>
    <col min="9" max="10" width="9" style="344"/>
    <col min="11" max="11" width="2.83203125" style="344" customWidth="1"/>
    <col min="12" max="13" width="9" style="344"/>
    <col min="14" max="14" width="9" style="344" customWidth="1"/>
    <col min="15" max="15" width="2.58203125" style="344" customWidth="1"/>
    <col min="16" max="16" width="6.5" style="344" bestFit="1" customWidth="1"/>
    <col min="17" max="17" width="88.33203125" style="344" customWidth="1"/>
    <col min="18" max="16384" width="10" style="344"/>
  </cols>
  <sheetData>
    <row r="1" spans="1:21" x14ac:dyDescent="0.35">
      <c r="A1" s="405" t="s">
        <v>355</v>
      </c>
      <c r="B1" s="406" t="s">
        <v>356</v>
      </c>
      <c r="C1" s="406" t="s">
        <v>357</v>
      </c>
      <c r="D1" s="406" t="s">
        <v>358</v>
      </c>
      <c r="E1" s="406" t="s">
        <v>124</v>
      </c>
      <c r="F1" s="406" t="s">
        <v>837</v>
      </c>
      <c r="G1" s="406" t="s">
        <v>838</v>
      </c>
      <c r="H1" s="407" t="s">
        <v>124</v>
      </c>
      <c r="I1" s="407" t="s">
        <v>919</v>
      </c>
      <c r="J1" s="407"/>
      <c r="K1" s="407" t="s">
        <v>124</v>
      </c>
      <c r="L1" s="407" t="s">
        <v>922</v>
      </c>
      <c r="M1" s="407"/>
      <c r="N1" s="407"/>
      <c r="O1" s="407"/>
      <c r="P1" s="407" t="s">
        <v>1181</v>
      </c>
      <c r="Q1" s="407" t="s">
        <v>1182</v>
      </c>
      <c r="R1" s="407"/>
      <c r="S1" s="407"/>
      <c r="T1" s="407"/>
      <c r="U1" s="407"/>
    </row>
    <row r="2" spans="1:21" ht="28" x14ac:dyDescent="0.35">
      <c r="A2" s="408" t="s">
        <v>985</v>
      </c>
      <c r="B2" s="375" t="s">
        <v>359</v>
      </c>
      <c r="C2" s="393" t="s">
        <v>360</v>
      </c>
      <c r="D2" s="400" t="s">
        <v>361</v>
      </c>
      <c r="E2" s="406">
        <v>1</v>
      </c>
      <c r="F2" s="409" t="s">
        <v>839</v>
      </c>
      <c r="G2" s="410" t="s">
        <v>840</v>
      </c>
      <c r="H2" s="407" t="s">
        <v>124</v>
      </c>
      <c r="I2" s="1284" t="s">
        <v>2089</v>
      </c>
      <c r="J2" s="1285" t="s">
        <v>2090</v>
      </c>
      <c r="K2" s="407" t="s">
        <v>124</v>
      </c>
      <c r="L2" s="407" t="s">
        <v>400</v>
      </c>
      <c r="M2" s="407" t="s">
        <v>924</v>
      </c>
      <c r="N2" s="407"/>
      <c r="O2" s="407"/>
      <c r="P2" s="360" t="s">
        <v>985</v>
      </c>
      <c r="Q2" s="361" t="s">
        <v>932</v>
      </c>
      <c r="R2" s="407"/>
      <c r="S2" s="407"/>
      <c r="T2" s="407"/>
      <c r="U2" s="407"/>
    </row>
    <row r="3" spans="1:21" ht="28" x14ac:dyDescent="0.35">
      <c r="A3" s="408" t="s">
        <v>986</v>
      </c>
      <c r="B3" s="376" t="s">
        <v>362</v>
      </c>
      <c r="C3" s="393" t="s">
        <v>360</v>
      </c>
      <c r="D3" s="401" t="s">
        <v>361</v>
      </c>
      <c r="E3" s="406">
        <f>E2+1</f>
        <v>2</v>
      </c>
      <c r="F3" s="357" t="s">
        <v>841</v>
      </c>
      <c r="G3" s="356" t="s">
        <v>842</v>
      </c>
      <c r="H3" s="407" t="s">
        <v>124</v>
      </c>
      <c r="I3" s="1284" t="s">
        <v>2307</v>
      </c>
      <c r="J3" s="1285" t="s">
        <v>2308</v>
      </c>
      <c r="K3" s="407" t="s">
        <v>124</v>
      </c>
      <c r="L3" s="407" t="s">
        <v>360</v>
      </c>
      <c r="M3" s="407" t="s">
        <v>925</v>
      </c>
      <c r="N3" s="407"/>
      <c r="O3" s="407"/>
      <c r="P3" s="360" t="s">
        <v>986</v>
      </c>
      <c r="Q3" s="361" t="s">
        <v>1302</v>
      </c>
      <c r="R3" s="407"/>
      <c r="S3" s="407"/>
      <c r="T3" s="407"/>
      <c r="U3" s="407"/>
    </row>
    <row r="4" spans="1:21" x14ac:dyDescent="0.35">
      <c r="A4" s="408" t="s">
        <v>987</v>
      </c>
      <c r="B4" s="377" t="s">
        <v>363</v>
      </c>
      <c r="C4" s="393" t="s">
        <v>360</v>
      </c>
      <c r="D4" s="401" t="s">
        <v>364</v>
      </c>
      <c r="E4" s="406">
        <f t="shared" ref="E4:E67" si="0">E3+1</f>
        <v>3</v>
      </c>
      <c r="F4" s="358" t="s">
        <v>843</v>
      </c>
      <c r="G4" s="354" t="s">
        <v>844</v>
      </c>
      <c r="H4" s="407" t="s">
        <v>124</v>
      </c>
      <c r="I4" s="1284" t="s">
        <v>847</v>
      </c>
      <c r="J4" s="1285" t="s">
        <v>2091</v>
      </c>
      <c r="K4" s="407" t="s">
        <v>124</v>
      </c>
      <c r="L4" s="407" t="s">
        <v>402</v>
      </c>
      <c r="M4" s="407" t="s">
        <v>926</v>
      </c>
      <c r="N4" s="407"/>
      <c r="O4" s="407"/>
      <c r="P4" s="360" t="s">
        <v>987</v>
      </c>
      <c r="Q4" s="361" t="s">
        <v>1303</v>
      </c>
      <c r="R4" s="407"/>
      <c r="S4" s="407"/>
      <c r="T4" s="407"/>
      <c r="U4" s="407"/>
    </row>
    <row r="5" spans="1:21" x14ac:dyDescent="0.35">
      <c r="A5" s="408" t="s">
        <v>987</v>
      </c>
      <c r="B5" s="377" t="s">
        <v>365</v>
      </c>
      <c r="C5" s="393" t="s">
        <v>360</v>
      </c>
      <c r="D5" s="401" t="s">
        <v>366</v>
      </c>
      <c r="E5" s="406">
        <f t="shared" si="0"/>
        <v>4</v>
      </c>
      <c r="F5" s="358" t="s">
        <v>845</v>
      </c>
      <c r="G5" s="354" t="s">
        <v>846</v>
      </c>
      <c r="H5" s="407" t="s">
        <v>124</v>
      </c>
      <c r="I5" s="1284" t="s">
        <v>2310</v>
      </c>
      <c r="J5" s="1285" t="s">
        <v>2311</v>
      </c>
      <c r="K5" s="407" t="s">
        <v>124</v>
      </c>
      <c r="L5" s="411" t="s">
        <v>923</v>
      </c>
      <c r="M5" s="407" t="s">
        <v>927</v>
      </c>
      <c r="N5" s="407"/>
      <c r="O5" s="407"/>
      <c r="P5" s="360" t="s">
        <v>988</v>
      </c>
      <c r="Q5" s="361" t="s">
        <v>975</v>
      </c>
      <c r="R5" s="407"/>
      <c r="S5" s="407"/>
      <c r="T5" s="407"/>
      <c r="U5" s="407"/>
    </row>
    <row r="6" spans="1:21" x14ac:dyDescent="0.35">
      <c r="A6" s="408" t="s">
        <v>987</v>
      </c>
      <c r="B6" s="376" t="s">
        <v>367</v>
      </c>
      <c r="C6" s="393" t="s">
        <v>360</v>
      </c>
      <c r="D6" s="401" t="s">
        <v>368</v>
      </c>
      <c r="E6" s="406">
        <f t="shared" si="0"/>
        <v>5</v>
      </c>
      <c r="F6" s="358" t="s">
        <v>847</v>
      </c>
      <c r="G6" s="354" t="s">
        <v>1286</v>
      </c>
      <c r="H6" s="407" t="s">
        <v>124</v>
      </c>
      <c r="I6" s="1284" t="s">
        <v>848</v>
      </c>
      <c r="J6" s="1285" t="s">
        <v>2285</v>
      </c>
      <c r="K6" s="407" t="s">
        <v>124</v>
      </c>
      <c r="L6" s="407" t="s">
        <v>410</v>
      </c>
      <c r="M6" s="407" t="s">
        <v>928</v>
      </c>
      <c r="N6" s="407"/>
      <c r="O6" s="407"/>
      <c r="P6" s="360" t="s">
        <v>989</v>
      </c>
      <c r="Q6" s="361" t="s">
        <v>976</v>
      </c>
      <c r="R6" s="407"/>
      <c r="S6" s="407"/>
      <c r="T6" s="407"/>
      <c r="U6" s="407"/>
    </row>
    <row r="7" spans="1:21" x14ac:dyDescent="0.35">
      <c r="A7" s="408" t="s">
        <v>987</v>
      </c>
      <c r="B7" s="376" t="s">
        <v>369</v>
      </c>
      <c r="C7" s="393" t="s">
        <v>360</v>
      </c>
      <c r="D7" s="401" t="s">
        <v>370</v>
      </c>
      <c r="E7" s="406">
        <f t="shared" si="0"/>
        <v>6</v>
      </c>
      <c r="F7" s="358" t="s">
        <v>848</v>
      </c>
      <c r="G7" s="354" t="s">
        <v>849</v>
      </c>
      <c r="H7" s="407" t="s">
        <v>124</v>
      </c>
      <c r="I7" s="1284" t="s">
        <v>859</v>
      </c>
      <c r="J7" s="1285" t="s">
        <v>2294</v>
      </c>
      <c r="K7" s="407" t="s">
        <v>124</v>
      </c>
      <c r="L7" s="407"/>
      <c r="M7" s="407"/>
      <c r="N7" s="407"/>
      <c r="O7" s="407"/>
      <c r="P7" s="360" t="s">
        <v>990</v>
      </c>
      <c r="Q7" s="361" t="s">
        <v>1304</v>
      </c>
      <c r="R7" s="407"/>
      <c r="S7" s="407"/>
      <c r="T7" s="407"/>
      <c r="U7" s="407"/>
    </row>
    <row r="8" spans="1:21" x14ac:dyDescent="0.35">
      <c r="A8" s="408" t="s">
        <v>987</v>
      </c>
      <c r="B8" s="376" t="s">
        <v>371</v>
      </c>
      <c r="C8" s="393" t="s">
        <v>360</v>
      </c>
      <c r="D8" s="401" t="s">
        <v>372</v>
      </c>
      <c r="E8" s="406">
        <f t="shared" si="0"/>
        <v>7</v>
      </c>
      <c r="F8" s="358" t="s">
        <v>850</v>
      </c>
      <c r="G8" s="354" t="s">
        <v>851</v>
      </c>
      <c r="H8" s="407" t="s">
        <v>124</v>
      </c>
      <c r="I8" s="1284" t="s">
        <v>171</v>
      </c>
      <c r="J8" s="1285" t="s">
        <v>224</v>
      </c>
      <c r="K8" s="407" t="s">
        <v>124</v>
      </c>
      <c r="L8" s="407"/>
      <c r="M8" s="407"/>
      <c r="N8" s="407"/>
      <c r="O8" s="407"/>
      <c r="P8" s="360" t="s">
        <v>991</v>
      </c>
      <c r="Q8" s="361" t="s">
        <v>844</v>
      </c>
      <c r="R8" s="407"/>
      <c r="S8" s="407"/>
      <c r="T8" s="407"/>
      <c r="U8" s="407"/>
    </row>
    <row r="9" spans="1:21" x14ac:dyDescent="0.35">
      <c r="A9" s="408" t="s">
        <v>987</v>
      </c>
      <c r="B9" s="376" t="s">
        <v>373</v>
      </c>
      <c r="C9" s="393" t="s">
        <v>360</v>
      </c>
      <c r="D9" s="401" t="s">
        <v>374</v>
      </c>
      <c r="E9" s="406">
        <f t="shared" si="0"/>
        <v>8</v>
      </c>
      <c r="F9" s="358" t="s">
        <v>225</v>
      </c>
      <c r="G9" s="354" t="s">
        <v>226</v>
      </c>
      <c r="H9" s="407" t="s">
        <v>124</v>
      </c>
      <c r="I9" s="1284" t="s">
        <v>2274</v>
      </c>
      <c r="J9" s="1285" t="s">
        <v>2275</v>
      </c>
      <c r="K9" s="407" t="s">
        <v>124</v>
      </c>
      <c r="L9" s="407"/>
      <c r="M9" s="407"/>
      <c r="N9" s="407"/>
      <c r="O9" s="407"/>
      <c r="P9" s="360" t="s">
        <v>992</v>
      </c>
      <c r="Q9" s="361" t="s">
        <v>1305</v>
      </c>
      <c r="R9" s="407"/>
      <c r="S9" s="407"/>
      <c r="T9" s="407"/>
      <c r="U9" s="407"/>
    </row>
    <row r="10" spans="1:21" x14ac:dyDescent="0.35">
      <c r="A10" s="408" t="s">
        <v>987</v>
      </c>
      <c r="B10" s="376" t="s">
        <v>375</v>
      </c>
      <c r="C10" s="393" t="s">
        <v>360</v>
      </c>
      <c r="D10" s="401" t="s">
        <v>376</v>
      </c>
      <c r="E10" s="406">
        <f t="shared" si="0"/>
        <v>9</v>
      </c>
      <c r="F10" s="358" t="s">
        <v>227</v>
      </c>
      <c r="G10" s="354" t="s">
        <v>852</v>
      </c>
      <c r="H10" s="407" t="s">
        <v>124</v>
      </c>
      <c r="I10" s="1284" t="s">
        <v>1291</v>
      </c>
      <c r="J10" s="1285" t="s">
        <v>2316</v>
      </c>
      <c r="K10" s="407" t="s">
        <v>124</v>
      </c>
      <c r="L10" s="407"/>
      <c r="M10" s="407"/>
      <c r="N10" s="407"/>
      <c r="O10" s="407"/>
      <c r="P10" s="362" t="s">
        <v>1306</v>
      </c>
      <c r="Q10" s="363" t="s">
        <v>932</v>
      </c>
      <c r="R10" s="407"/>
      <c r="S10" s="407"/>
      <c r="T10" s="407"/>
      <c r="U10" s="407"/>
    </row>
    <row r="11" spans="1:21" x14ac:dyDescent="0.35">
      <c r="A11" s="408" t="s">
        <v>987</v>
      </c>
      <c r="B11" s="376" t="s">
        <v>377</v>
      </c>
      <c r="C11" s="393" t="s">
        <v>360</v>
      </c>
      <c r="D11" s="401" t="s">
        <v>378</v>
      </c>
      <c r="E11" s="406">
        <f t="shared" si="0"/>
        <v>10</v>
      </c>
      <c r="F11" s="358" t="s">
        <v>853</v>
      </c>
      <c r="G11" s="354" t="s">
        <v>854</v>
      </c>
      <c r="H11" s="407" t="s">
        <v>124</v>
      </c>
      <c r="I11" s="1284" t="s">
        <v>2303</v>
      </c>
      <c r="J11" s="1285" t="s">
        <v>2304</v>
      </c>
      <c r="K11" s="407" t="s">
        <v>124</v>
      </c>
      <c r="L11" s="407"/>
      <c r="M11" s="407"/>
      <c r="N11" s="407"/>
      <c r="O11" s="407"/>
      <c r="P11" s="360" t="s">
        <v>995</v>
      </c>
      <c r="Q11" s="361" t="s">
        <v>1307</v>
      </c>
      <c r="R11" s="407"/>
      <c r="S11" s="407"/>
      <c r="T11" s="407"/>
      <c r="U11" s="407"/>
    </row>
    <row r="12" spans="1:21" x14ac:dyDescent="0.35">
      <c r="A12" s="408" t="s">
        <v>987</v>
      </c>
      <c r="B12" s="376" t="s">
        <v>379</v>
      </c>
      <c r="C12" s="393" t="s">
        <v>360</v>
      </c>
      <c r="D12" s="401" t="s">
        <v>380</v>
      </c>
      <c r="E12" s="406">
        <f t="shared" si="0"/>
        <v>11</v>
      </c>
      <c r="F12" s="358" t="s">
        <v>855</v>
      </c>
      <c r="G12" s="354" t="s">
        <v>856</v>
      </c>
      <c r="H12" s="407" t="s">
        <v>124</v>
      </c>
      <c r="I12" s="1284" t="s">
        <v>886</v>
      </c>
      <c r="J12" s="1285" t="s">
        <v>2313</v>
      </c>
      <c r="K12" s="407" t="s">
        <v>124</v>
      </c>
      <c r="L12" s="407"/>
      <c r="M12" s="407"/>
      <c r="N12" s="407"/>
      <c r="O12" s="407"/>
      <c r="P12" s="360" t="s">
        <v>996</v>
      </c>
      <c r="Q12" s="361" t="s">
        <v>1308</v>
      </c>
      <c r="R12" s="407"/>
      <c r="S12" s="407"/>
      <c r="T12" s="407"/>
      <c r="U12" s="407"/>
    </row>
    <row r="13" spans="1:21" x14ac:dyDescent="0.35">
      <c r="A13" s="408" t="s">
        <v>987</v>
      </c>
      <c r="B13" s="376" t="s">
        <v>381</v>
      </c>
      <c r="C13" s="393" t="s">
        <v>360</v>
      </c>
      <c r="D13" s="401" t="s">
        <v>1478</v>
      </c>
      <c r="E13" s="406">
        <f t="shared" si="0"/>
        <v>12</v>
      </c>
      <c r="F13" s="358" t="s">
        <v>857</v>
      </c>
      <c r="G13" s="354" t="s">
        <v>858</v>
      </c>
      <c r="H13" s="407" t="s">
        <v>124</v>
      </c>
      <c r="I13" s="1284" t="s">
        <v>904</v>
      </c>
      <c r="J13" s="1285" t="s">
        <v>2092</v>
      </c>
      <c r="K13" s="407" t="s">
        <v>124</v>
      </c>
      <c r="L13" s="407"/>
      <c r="M13" s="407"/>
      <c r="N13" s="407"/>
      <c r="O13" s="407"/>
      <c r="P13" s="360" t="s">
        <v>997</v>
      </c>
      <c r="Q13" s="361" t="s">
        <v>933</v>
      </c>
      <c r="R13" s="407"/>
      <c r="S13" s="407"/>
      <c r="T13" s="407"/>
      <c r="U13" s="407"/>
    </row>
    <row r="14" spans="1:21" x14ac:dyDescent="0.35">
      <c r="A14" s="408" t="s">
        <v>988</v>
      </c>
      <c r="B14" s="376" t="s">
        <v>382</v>
      </c>
      <c r="C14" s="393" t="s">
        <v>360</v>
      </c>
      <c r="D14" s="401" t="s">
        <v>364</v>
      </c>
      <c r="E14" s="406">
        <f t="shared" si="0"/>
        <v>13</v>
      </c>
      <c r="F14" s="358" t="s">
        <v>859</v>
      </c>
      <c r="G14" s="354" t="s">
        <v>2100</v>
      </c>
      <c r="H14" s="407" t="s">
        <v>124</v>
      </c>
      <c r="I14" s="1284" t="s">
        <v>2093</v>
      </c>
      <c r="J14" s="1285" t="s">
        <v>2094</v>
      </c>
      <c r="K14" s="407" t="s">
        <v>124</v>
      </c>
      <c r="L14" s="407"/>
      <c r="M14" s="407"/>
      <c r="N14" s="407"/>
      <c r="O14" s="407"/>
      <c r="P14" s="360" t="s">
        <v>999</v>
      </c>
      <c r="Q14" s="361" t="s">
        <v>1309</v>
      </c>
      <c r="R14" s="407"/>
      <c r="S14" s="407"/>
      <c r="T14" s="407"/>
      <c r="U14" s="407"/>
    </row>
    <row r="15" spans="1:21" x14ac:dyDescent="0.35">
      <c r="A15" s="408" t="s">
        <v>988</v>
      </c>
      <c r="B15" s="376" t="s">
        <v>383</v>
      </c>
      <c r="C15" s="393" t="s">
        <v>360</v>
      </c>
      <c r="D15" s="401" t="s">
        <v>366</v>
      </c>
      <c r="E15" s="406">
        <f t="shared" si="0"/>
        <v>14</v>
      </c>
      <c r="F15" s="358" t="s">
        <v>860</v>
      </c>
      <c r="G15" s="354" t="s">
        <v>861</v>
      </c>
      <c r="H15" s="407" t="s">
        <v>124</v>
      </c>
      <c r="I15" s="1284" t="s">
        <v>1162</v>
      </c>
      <c r="J15" s="1285" t="s">
        <v>2095</v>
      </c>
      <c r="K15" s="407" t="s">
        <v>124</v>
      </c>
      <c r="L15" s="407"/>
      <c r="M15" s="407"/>
      <c r="N15" s="407"/>
      <c r="O15" s="407"/>
      <c r="P15" s="360" t="s">
        <v>1000</v>
      </c>
      <c r="Q15" s="361" t="s">
        <v>1310</v>
      </c>
      <c r="R15" s="407"/>
      <c r="S15" s="407"/>
      <c r="T15" s="407"/>
      <c r="U15" s="407"/>
    </row>
    <row r="16" spans="1:21" x14ac:dyDescent="0.35">
      <c r="A16" s="408" t="s">
        <v>988</v>
      </c>
      <c r="B16" s="376" t="s">
        <v>384</v>
      </c>
      <c r="C16" s="393" t="s">
        <v>360</v>
      </c>
      <c r="D16" s="401" t="s">
        <v>368</v>
      </c>
      <c r="E16" s="406">
        <f t="shared" si="0"/>
        <v>15</v>
      </c>
      <c r="F16" s="358" t="s">
        <v>146</v>
      </c>
      <c r="G16" s="354" t="s">
        <v>862</v>
      </c>
      <c r="H16" s="407" t="s">
        <v>124</v>
      </c>
      <c r="I16" s="1284" t="s">
        <v>2096</v>
      </c>
      <c r="J16" s="1285" t="s">
        <v>2097</v>
      </c>
      <c r="K16" s="407" t="s">
        <v>124</v>
      </c>
      <c r="L16" s="407"/>
      <c r="M16" s="407"/>
      <c r="N16" s="407"/>
      <c r="O16" s="407"/>
      <c r="P16" s="360" t="s">
        <v>1001</v>
      </c>
      <c r="Q16" s="361" t="s">
        <v>977</v>
      </c>
      <c r="R16" s="407"/>
      <c r="S16" s="407"/>
      <c r="T16" s="407"/>
      <c r="U16" s="407"/>
    </row>
    <row r="17" spans="1:21" x14ac:dyDescent="0.35">
      <c r="A17" s="408" t="s">
        <v>988</v>
      </c>
      <c r="B17" s="376" t="s">
        <v>385</v>
      </c>
      <c r="C17" s="393" t="s">
        <v>360</v>
      </c>
      <c r="D17" s="401" t="s">
        <v>370</v>
      </c>
      <c r="E17" s="406">
        <f t="shared" si="0"/>
        <v>16</v>
      </c>
      <c r="F17" s="358" t="s">
        <v>863</v>
      </c>
      <c r="G17" s="354" t="s">
        <v>1287</v>
      </c>
      <c r="H17" s="407" t="s">
        <v>124</v>
      </c>
      <c r="I17" s="1284" t="s">
        <v>920</v>
      </c>
      <c r="J17" s="1285" t="s">
        <v>921</v>
      </c>
      <c r="K17" s="407" t="s">
        <v>124</v>
      </c>
      <c r="L17" s="407"/>
      <c r="M17" s="407"/>
      <c r="N17" s="407"/>
      <c r="O17" s="407"/>
      <c r="P17" s="360" t="s">
        <v>1002</v>
      </c>
      <c r="Q17" s="361" t="s">
        <v>978</v>
      </c>
      <c r="R17" s="407"/>
      <c r="S17" s="407"/>
      <c r="T17" s="407"/>
      <c r="U17" s="407"/>
    </row>
    <row r="18" spans="1:21" x14ac:dyDescent="0.35">
      <c r="A18" s="408" t="s">
        <v>989</v>
      </c>
      <c r="B18" s="376" t="s">
        <v>386</v>
      </c>
      <c r="C18" s="393" t="s">
        <v>360</v>
      </c>
      <c r="D18" s="401" t="s">
        <v>372</v>
      </c>
      <c r="E18" s="406">
        <f t="shared" si="0"/>
        <v>17</v>
      </c>
      <c r="F18" s="358" t="s">
        <v>864</v>
      </c>
      <c r="G18" s="354" t="s">
        <v>865</v>
      </c>
      <c r="H18" s="407" t="s">
        <v>124</v>
      </c>
      <c r="I18" s="1284" t="s">
        <v>2098</v>
      </c>
      <c r="J18" s="1285" t="s">
        <v>2099</v>
      </c>
      <c r="K18" s="407" t="s">
        <v>124</v>
      </c>
      <c r="L18" s="407"/>
      <c r="M18" s="407"/>
      <c r="N18" s="407"/>
      <c r="O18" s="407"/>
      <c r="P18" s="360" t="s">
        <v>1003</v>
      </c>
      <c r="Q18" s="361" t="s">
        <v>932</v>
      </c>
      <c r="R18" s="407"/>
      <c r="S18" s="407"/>
      <c r="T18" s="407"/>
      <c r="U18" s="407"/>
    </row>
    <row r="19" spans="1:21" x14ac:dyDescent="0.35">
      <c r="A19" s="408" t="s">
        <v>989</v>
      </c>
      <c r="B19" s="376" t="s">
        <v>387</v>
      </c>
      <c r="C19" s="393" t="s">
        <v>360</v>
      </c>
      <c r="D19" s="401" t="s">
        <v>374</v>
      </c>
      <c r="E19" s="406">
        <f t="shared" si="0"/>
        <v>18</v>
      </c>
      <c r="F19" s="358" t="s">
        <v>866</v>
      </c>
      <c r="G19" s="354" t="s">
        <v>1288</v>
      </c>
      <c r="H19" s="407" t="s">
        <v>124</v>
      </c>
      <c r="I19" s="1284" t="s">
        <v>1189</v>
      </c>
      <c r="J19" s="1285" t="s">
        <v>1190</v>
      </c>
      <c r="K19" s="407" t="s">
        <v>124</v>
      </c>
      <c r="L19" s="407"/>
      <c r="M19" s="407"/>
      <c r="N19" s="407"/>
      <c r="O19" s="407"/>
      <c r="P19" s="360" t="s">
        <v>1311</v>
      </c>
      <c r="Q19" s="361" t="s">
        <v>1312</v>
      </c>
      <c r="R19" s="407"/>
      <c r="S19" s="407"/>
      <c r="T19" s="407"/>
      <c r="U19" s="407"/>
    </row>
    <row r="20" spans="1:21" x14ac:dyDescent="0.35">
      <c r="A20" s="408" t="s">
        <v>989</v>
      </c>
      <c r="B20" s="376" t="s">
        <v>388</v>
      </c>
      <c r="C20" s="393" t="s">
        <v>360</v>
      </c>
      <c r="D20" s="401" t="s">
        <v>376</v>
      </c>
      <c r="E20" s="406">
        <f t="shared" si="0"/>
        <v>19</v>
      </c>
      <c r="F20" s="358" t="s">
        <v>867</v>
      </c>
      <c r="G20" s="354" t="s">
        <v>868</v>
      </c>
      <c r="H20" s="407" t="s">
        <v>124</v>
      </c>
      <c r="I20" s="407"/>
      <c r="J20" s="407"/>
      <c r="K20" s="407" t="s">
        <v>124</v>
      </c>
      <c r="L20" s="407"/>
      <c r="M20" s="407"/>
      <c r="N20" s="407"/>
      <c r="O20" s="407"/>
      <c r="P20" s="360" t="s">
        <v>1313</v>
      </c>
      <c r="Q20" s="361" t="s">
        <v>1314</v>
      </c>
      <c r="R20" s="407"/>
      <c r="S20" s="407"/>
      <c r="T20" s="407"/>
      <c r="U20" s="407"/>
    </row>
    <row r="21" spans="1:21" x14ac:dyDescent="0.35">
      <c r="A21" s="408" t="s">
        <v>989</v>
      </c>
      <c r="B21" s="376" t="s">
        <v>389</v>
      </c>
      <c r="C21" s="393" t="s">
        <v>360</v>
      </c>
      <c r="D21" s="401" t="s">
        <v>378</v>
      </c>
      <c r="E21" s="406">
        <f t="shared" si="0"/>
        <v>20</v>
      </c>
      <c r="F21" s="358" t="s">
        <v>869</v>
      </c>
      <c r="G21" s="354" t="s">
        <v>1289</v>
      </c>
      <c r="H21" s="407" t="s">
        <v>124</v>
      </c>
      <c r="I21" s="407"/>
      <c r="J21" s="407"/>
      <c r="K21" s="407" t="s">
        <v>124</v>
      </c>
      <c r="L21" s="407"/>
      <c r="M21" s="407"/>
      <c r="N21" s="407"/>
      <c r="O21" s="407"/>
      <c r="P21" s="360" t="s">
        <v>1315</v>
      </c>
      <c r="Q21" s="361" t="s">
        <v>1316</v>
      </c>
      <c r="R21" s="407"/>
      <c r="S21" s="407"/>
      <c r="T21" s="407"/>
      <c r="U21" s="407"/>
    </row>
    <row r="22" spans="1:21" x14ac:dyDescent="0.35">
      <c r="A22" s="408" t="s">
        <v>990</v>
      </c>
      <c r="B22" s="376" t="s">
        <v>390</v>
      </c>
      <c r="C22" s="393" t="s">
        <v>360</v>
      </c>
      <c r="D22" s="401" t="s">
        <v>380</v>
      </c>
      <c r="E22" s="406">
        <f t="shared" si="0"/>
        <v>21</v>
      </c>
      <c r="F22" s="358" t="s">
        <v>870</v>
      </c>
      <c r="G22" s="354" t="s">
        <v>1290</v>
      </c>
      <c r="H22" s="407" t="s">
        <v>124</v>
      </c>
      <c r="I22" s="407"/>
      <c r="J22" s="407"/>
      <c r="K22" s="407" t="s">
        <v>124</v>
      </c>
      <c r="L22" s="407"/>
      <c r="M22" s="407"/>
      <c r="N22" s="407"/>
      <c r="O22" s="407"/>
      <c r="P22" s="360" t="s">
        <v>1317</v>
      </c>
      <c r="Q22" s="361" t="s">
        <v>1318</v>
      </c>
      <c r="R22" s="407"/>
      <c r="S22" s="407"/>
      <c r="T22" s="407"/>
      <c r="U22" s="407"/>
    </row>
    <row r="23" spans="1:21" x14ac:dyDescent="0.35">
      <c r="A23" s="408" t="s">
        <v>990</v>
      </c>
      <c r="B23" s="376" t="s">
        <v>391</v>
      </c>
      <c r="C23" s="393" t="s">
        <v>360</v>
      </c>
      <c r="D23" s="401" t="s">
        <v>1478</v>
      </c>
      <c r="E23" s="406">
        <f t="shared" si="0"/>
        <v>22</v>
      </c>
      <c r="F23" s="358" t="s">
        <v>1291</v>
      </c>
      <c r="G23" s="354" t="s">
        <v>1292</v>
      </c>
      <c r="H23" s="407" t="s">
        <v>124</v>
      </c>
      <c r="I23" s="407"/>
      <c r="J23" s="407"/>
      <c r="K23" s="407" t="s">
        <v>124</v>
      </c>
      <c r="L23" s="407"/>
      <c r="M23" s="407"/>
      <c r="N23" s="407"/>
      <c r="O23" s="407"/>
      <c r="P23" s="360" t="s">
        <v>1319</v>
      </c>
      <c r="Q23" s="361" t="s">
        <v>1320</v>
      </c>
      <c r="R23" s="407"/>
      <c r="S23" s="407"/>
      <c r="T23" s="407"/>
      <c r="U23" s="407"/>
    </row>
    <row r="24" spans="1:21" x14ac:dyDescent="0.35">
      <c r="A24" s="408" t="s">
        <v>991</v>
      </c>
      <c r="B24" s="376" t="s">
        <v>392</v>
      </c>
      <c r="C24" s="393" t="s">
        <v>360</v>
      </c>
      <c r="D24" s="401" t="s">
        <v>1479</v>
      </c>
      <c r="E24" s="406">
        <f t="shared" si="0"/>
        <v>23</v>
      </c>
      <c r="F24" s="358" t="s">
        <v>871</v>
      </c>
      <c r="G24" s="354" t="s">
        <v>872</v>
      </c>
      <c r="H24" s="407" t="s">
        <v>124</v>
      </c>
      <c r="I24" s="407"/>
      <c r="J24" s="407"/>
      <c r="K24" s="407" t="s">
        <v>124</v>
      </c>
      <c r="L24" s="407"/>
      <c r="M24" s="407"/>
      <c r="N24" s="407"/>
      <c r="O24" s="407"/>
      <c r="P24" s="360" t="s">
        <v>1393</v>
      </c>
      <c r="Q24" s="361" t="s">
        <v>1321</v>
      </c>
      <c r="R24" s="407"/>
      <c r="S24" s="407"/>
      <c r="T24" s="407"/>
      <c r="U24" s="407"/>
    </row>
    <row r="25" spans="1:21" ht="28" x14ac:dyDescent="0.35">
      <c r="A25" s="408" t="s">
        <v>991</v>
      </c>
      <c r="B25" s="376" t="s">
        <v>393</v>
      </c>
      <c r="C25" s="393" t="s">
        <v>360</v>
      </c>
      <c r="D25" s="401" t="s">
        <v>394</v>
      </c>
      <c r="E25" s="406">
        <f t="shared" si="0"/>
        <v>24</v>
      </c>
      <c r="F25" s="358" t="s">
        <v>873</v>
      </c>
      <c r="G25" s="354" t="s">
        <v>874</v>
      </c>
      <c r="H25" s="407" t="s">
        <v>124</v>
      </c>
      <c r="I25" s="407"/>
      <c r="J25" s="407"/>
      <c r="K25" s="407" t="s">
        <v>124</v>
      </c>
      <c r="L25" s="407"/>
      <c r="M25" s="407"/>
      <c r="N25" s="407"/>
      <c r="O25" s="407"/>
      <c r="P25" s="360" t="s">
        <v>1322</v>
      </c>
      <c r="Q25" s="361" t="s">
        <v>1323</v>
      </c>
      <c r="R25" s="407"/>
      <c r="S25" s="407"/>
      <c r="T25" s="407"/>
      <c r="U25" s="407"/>
    </row>
    <row r="26" spans="1:21" ht="28" x14ac:dyDescent="0.35">
      <c r="A26" s="408" t="s">
        <v>991</v>
      </c>
      <c r="B26" s="376" t="s">
        <v>395</v>
      </c>
      <c r="C26" s="393" t="s">
        <v>360</v>
      </c>
      <c r="D26" s="401" t="s">
        <v>396</v>
      </c>
      <c r="E26" s="406">
        <f t="shared" si="0"/>
        <v>25</v>
      </c>
      <c r="F26" s="358" t="s">
        <v>1293</v>
      </c>
      <c r="G26" s="354" t="s">
        <v>1294</v>
      </c>
      <c r="H26" s="407" t="s">
        <v>124</v>
      </c>
      <c r="I26" s="407"/>
      <c r="J26" s="407"/>
      <c r="K26" s="407" t="s">
        <v>124</v>
      </c>
      <c r="L26" s="407"/>
      <c r="M26" s="407"/>
      <c r="N26" s="407"/>
      <c r="O26" s="407"/>
      <c r="P26" s="360" t="s">
        <v>1324</v>
      </c>
      <c r="Q26" s="361" t="s">
        <v>1325</v>
      </c>
      <c r="R26" s="407"/>
      <c r="S26" s="407"/>
      <c r="T26" s="407"/>
      <c r="U26" s="407"/>
    </row>
    <row r="27" spans="1:21" x14ac:dyDescent="0.35">
      <c r="A27" s="408" t="s">
        <v>991</v>
      </c>
      <c r="B27" s="376" t="s">
        <v>397</v>
      </c>
      <c r="C27" s="393" t="s">
        <v>360</v>
      </c>
      <c r="D27" s="401" t="s">
        <v>398</v>
      </c>
      <c r="E27" s="406">
        <f t="shared" si="0"/>
        <v>26</v>
      </c>
      <c r="F27" s="358" t="s">
        <v>875</v>
      </c>
      <c r="G27" s="354" t="s">
        <v>876</v>
      </c>
      <c r="H27" s="407" t="s">
        <v>124</v>
      </c>
      <c r="I27" s="407"/>
      <c r="J27" s="407"/>
      <c r="K27" s="407" t="s">
        <v>124</v>
      </c>
      <c r="L27" s="407"/>
      <c r="M27" s="407"/>
      <c r="N27" s="407"/>
      <c r="O27" s="407"/>
      <c r="P27" s="360" t="s">
        <v>1326</v>
      </c>
      <c r="Q27" s="361" t="s">
        <v>1327</v>
      </c>
      <c r="R27" s="407"/>
      <c r="S27" s="407"/>
      <c r="T27" s="407"/>
      <c r="U27" s="407"/>
    </row>
    <row r="28" spans="1:21" x14ac:dyDescent="0.35">
      <c r="A28" s="408" t="s">
        <v>992</v>
      </c>
      <c r="B28" s="376" t="s">
        <v>399</v>
      </c>
      <c r="C28" s="393" t="s">
        <v>400</v>
      </c>
      <c r="D28" s="401" t="s">
        <v>401</v>
      </c>
      <c r="E28" s="406">
        <f t="shared" si="0"/>
        <v>27</v>
      </c>
      <c r="F28" s="358" t="s">
        <v>877</v>
      </c>
      <c r="G28" s="354" t="s">
        <v>878</v>
      </c>
      <c r="H28" s="407" t="s">
        <v>124</v>
      </c>
      <c r="I28" s="407"/>
      <c r="J28" s="407"/>
      <c r="K28" s="407" t="s">
        <v>124</v>
      </c>
      <c r="L28" s="407"/>
      <c r="M28" s="407"/>
      <c r="N28" s="407"/>
      <c r="O28" s="407"/>
      <c r="P28" s="360" t="s">
        <v>1004</v>
      </c>
      <c r="Q28" s="361" t="s">
        <v>932</v>
      </c>
      <c r="R28" s="407"/>
      <c r="S28" s="407"/>
      <c r="T28" s="407"/>
      <c r="U28" s="407"/>
    </row>
    <row r="29" spans="1:21" x14ac:dyDescent="0.35">
      <c r="A29" s="408" t="s">
        <v>993</v>
      </c>
      <c r="B29" s="378" t="s">
        <v>1394</v>
      </c>
      <c r="C29" s="394" t="s">
        <v>402</v>
      </c>
      <c r="D29" s="402" t="s">
        <v>1480</v>
      </c>
      <c r="E29" s="406">
        <f t="shared" si="0"/>
        <v>28</v>
      </c>
      <c r="F29" s="358" t="s">
        <v>879</v>
      </c>
      <c r="G29" s="354" t="s">
        <v>1295</v>
      </c>
      <c r="H29" s="407" t="s">
        <v>124</v>
      </c>
      <c r="I29" s="407"/>
      <c r="J29" s="407"/>
      <c r="K29" s="407" t="s">
        <v>124</v>
      </c>
      <c r="L29" s="407"/>
      <c r="M29" s="407"/>
      <c r="N29" s="407"/>
      <c r="O29" s="407"/>
      <c r="P29" s="360" t="s">
        <v>1005</v>
      </c>
      <c r="Q29" s="361" t="s">
        <v>935</v>
      </c>
      <c r="R29" s="407"/>
      <c r="S29" s="407"/>
      <c r="T29" s="407"/>
      <c r="U29" s="407"/>
    </row>
    <row r="30" spans="1:21" ht="28" x14ac:dyDescent="0.35">
      <c r="A30" s="408" t="s">
        <v>994</v>
      </c>
      <c r="B30" s="376" t="s">
        <v>403</v>
      </c>
      <c r="C30" s="393" t="s">
        <v>402</v>
      </c>
      <c r="D30" s="401" t="s">
        <v>404</v>
      </c>
      <c r="E30" s="406">
        <f t="shared" si="0"/>
        <v>29</v>
      </c>
      <c r="F30" s="358" t="s">
        <v>880</v>
      </c>
      <c r="G30" s="354" t="s">
        <v>881</v>
      </c>
      <c r="H30" s="407" t="s">
        <v>124</v>
      </c>
      <c r="I30" s="407"/>
      <c r="J30" s="407"/>
      <c r="K30" s="407" t="s">
        <v>124</v>
      </c>
      <c r="L30" s="407"/>
      <c r="M30" s="407"/>
      <c r="N30" s="407"/>
      <c r="O30" s="407"/>
      <c r="P30" s="360" t="s">
        <v>1006</v>
      </c>
      <c r="Q30" s="361" t="s">
        <v>936</v>
      </c>
      <c r="R30" s="407"/>
      <c r="S30" s="407"/>
      <c r="T30" s="407"/>
      <c r="U30" s="407"/>
    </row>
    <row r="31" spans="1:21" x14ac:dyDescent="0.35">
      <c r="A31" s="408" t="s">
        <v>995</v>
      </c>
      <c r="B31" s="376" t="s">
        <v>405</v>
      </c>
      <c r="C31" s="393" t="s">
        <v>402</v>
      </c>
      <c r="D31" s="401" t="s">
        <v>406</v>
      </c>
      <c r="E31" s="406">
        <f t="shared" si="0"/>
        <v>30</v>
      </c>
      <c r="F31" s="358" t="s">
        <v>882</v>
      </c>
      <c r="G31" s="354" t="s">
        <v>883</v>
      </c>
      <c r="H31" s="407" t="s">
        <v>124</v>
      </c>
      <c r="I31" s="407"/>
      <c r="J31" s="407"/>
      <c r="K31" s="407" t="s">
        <v>124</v>
      </c>
      <c r="L31" s="407"/>
      <c r="M31" s="407"/>
      <c r="N31" s="407"/>
      <c r="O31" s="407"/>
      <c r="P31" s="360" t="s">
        <v>1007</v>
      </c>
      <c r="Q31" s="361" t="s">
        <v>937</v>
      </c>
      <c r="R31" s="407"/>
      <c r="S31" s="407"/>
      <c r="T31" s="407"/>
      <c r="U31" s="407"/>
    </row>
    <row r="32" spans="1:21" ht="28" x14ac:dyDescent="0.35">
      <c r="A32" s="408" t="s">
        <v>995</v>
      </c>
      <c r="B32" s="376" t="s">
        <v>407</v>
      </c>
      <c r="C32" s="393" t="s">
        <v>402</v>
      </c>
      <c r="D32" s="401" t="s">
        <v>408</v>
      </c>
      <c r="E32" s="406">
        <f t="shared" si="0"/>
        <v>31</v>
      </c>
      <c r="F32" s="358" t="s">
        <v>884</v>
      </c>
      <c r="G32" s="354" t="s">
        <v>885</v>
      </c>
      <c r="H32" s="407" t="s">
        <v>124</v>
      </c>
      <c r="I32" s="407"/>
      <c r="J32" s="407"/>
      <c r="K32" s="407" t="s">
        <v>124</v>
      </c>
      <c r="L32" s="407"/>
      <c r="M32" s="407"/>
      <c r="N32" s="407"/>
      <c r="O32" s="407"/>
      <c r="P32" s="360" t="s">
        <v>1008</v>
      </c>
      <c r="Q32" s="361" t="s">
        <v>979</v>
      </c>
      <c r="R32" s="407"/>
      <c r="S32" s="407"/>
      <c r="T32" s="407"/>
      <c r="U32" s="407"/>
    </row>
    <row r="33" spans="1:21" ht="28" x14ac:dyDescent="0.35">
      <c r="A33" s="408" t="s">
        <v>995</v>
      </c>
      <c r="B33" s="376" t="s">
        <v>1395</v>
      </c>
      <c r="C33" s="393" t="s">
        <v>402</v>
      </c>
      <c r="D33" s="401" t="s">
        <v>805</v>
      </c>
      <c r="E33" s="406">
        <f t="shared" si="0"/>
        <v>32</v>
      </c>
      <c r="F33" s="358" t="s">
        <v>886</v>
      </c>
      <c r="G33" s="354" t="s">
        <v>887</v>
      </c>
      <c r="H33" s="407" t="s">
        <v>124</v>
      </c>
      <c r="I33" s="407"/>
      <c r="J33" s="407"/>
      <c r="K33" s="407" t="s">
        <v>124</v>
      </c>
      <c r="L33" s="407"/>
      <c r="M33" s="407"/>
      <c r="N33" s="407"/>
      <c r="O33" s="407"/>
      <c r="P33" s="360" t="s">
        <v>1009</v>
      </c>
      <c r="Q33" s="361" t="s">
        <v>938</v>
      </c>
      <c r="R33" s="407"/>
      <c r="S33" s="407"/>
      <c r="T33" s="407"/>
      <c r="U33" s="407"/>
    </row>
    <row r="34" spans="1:21" ht="28" x14ac:dyDescent="0.35">
      <c r="A34" s="408" t="s">
        <v>996</v>
      </c>
      <c r="B34" s="376" t="s">
        <v>409</v>
      </c>
      <c r="C34" s="393" t="s">
        <v>360</v>
      </c>
      <c r="D34" s="401" t="s">
        <v>1481</v>
      </c>
      <c r="E34" s="406">
        <f t="shared" si="0"/>
        <v>33</v>
      </c>
      <c r="F34" s="358" t="s">
        <v>888</v>
      </c>
      <c r="G34" s="354" t="s">
        <v>889</v>
      </c>
      <c r="H34" s="407" t="s">
        <v>124</v>
      </c>
      <c r="I34" s="407"/>
      <c r="J34" s="407"/>
      <c r="K34" s="407" t="s">
        <v>124</v>
      </c>
      <c r="L34" s="407"/>
      <c r="M34" s="407"/>
      <c r="N34" s="407"/>
      <c r="O34" s="407"/>
      <c r="P34" s="360" t="s">
        <v>1010</v>
      </c>
      <c r="Q34" s="361" t="s">
        <v>939</v>
      </c>
      <c r="R34" s="407"/>
      <c r="S34" s="407"/>
      <c r="T34" s="407"/>
      <c r="U34" s="407"/>
    </row>
    <row r="35" spans="1:21" ht="28" x14ac:dyDescent="0.35">
      <c r="A35" s="408" t="s">
        <v>996</v>
      </c>
      <c r="B35" s="376" t="s">
        <v>411</v>
      </c>
      <c r="C35" s="393" t="s">
        <v>402</v>
      </c>
      <c r="D35" s="401" t="s">
        <v>412</v>
      </c>
      <c r="E35" s="406">
        <f t="shared" si="0"/>
        <v>34</v>
      </c>
      <c r="F35" s="358" t="s">
        <v>890</v>
      </c>
      <c r="G35" s="354" t="s">
        <v>891</v>
      </c>
      <c r="H35" s="407" t="s">
        <v>124</v>
      </c>
      <c r="I35" s="407"/>
      <c r="J35" s="407"/>
      <c r="K35" s="407" t="s">
        <v>124</v>
      </c>
      <c r="L35" s="407"/>
      <c r="M35" s="407"/>
      <c r="N35" s="407"/>
      <c r="O35" s="407"/>
      <c r="P35" s="360" t="s">
        <v>1011</v>
      </c>
      <c r="Q35" s="361" t="s">
        <v>959</v>
      </c>
      <c r="R35" s="407"/>
      <c r="S35" s="407"/>
      <c r="T35" s="407"/>
      <c r="U35" s="407"/>
    </row>
    <row r="36" spans="1:21" ht="28" x14ac:dyDescent="0.35">
      <c r="A36" s="408" t="s">
        <v>996</v>
      </c>
      <c r="B36" s="376" t="s">
        <v>415</v>
      </c>
      <c r="C36" s="395" t="s">
        <v>402</v>
      </c>
      <c r="D36" s="401" t="s">
        <v>416</v>
      </c>
      <c r="E36" s="406">
        <f t="shared" si="0"/>
        <v>35</v>
      </c>
      <c r="F36" s="358" t="s">
        <v>1296</v>
      </c>
      <c r="G36" s="354" t="s">
        <v>1297</v>
      </c>
      <c r="H36" s="407" t="s">
        <v>124</v>
      </c>
      <c r="I36" s="407"/>
      <c r="J36" s="407"/>
      <c r="K36" s="407" t="s">
        <v>124</v>
      </c>
      <c r="L36" s="407"/>
      <c r="M36" s="407"/>
      <c r="N36" s="407"/>
      <c r="O36" s="407"/>
      <c r="P36" s="360" t="s">
        <v>1012</v>
      </c>
      <c r="Q36" s="361" t="s">
        <v>940</v>
      </c>
      <c r="R36" s="407"/>
      <c r="S36" s="407"/>
      <c r="T36" s="407"/>
      <c r="U36" s="407"/>
    </row>
    <row r="37" spans="1:21" x14ac:dyDescent="0.35">
      <c r="A37" s="408" t="s">
        <v>996</v>
      </c>
      <c r="B37" s="376" t="s">
        <v>417</v>
      </c>
      <c r="C37" s="395" t="s">
        <v>402</v>
      </c>
      <c r="D37" s="401" t="s">
        <v>406</v>
      </c>
      <c r="E37" s="406">
        <f t="shared" si="0"/>
        <v>36</v>
      </c>
      <c r="F37" s="358" t="s">
        <v>892</v>
      </c>
      <c r="G37" s="354" t="s">
        <v>893</v>
      </c>
      <c r="H37" s="407" t="s">
        <v>124</v>
      </c>
      <c r="I37" s="407"/>
      <c r="J37" s="407"/>
      <c r="K37" s="407" t="s">
        <v>124</v>
      </c>
      <c r="L37" s="407"/>
      <c r="M37" s="407"/>
      <c r="N37" s="407"/>
      <c r="O37" s="407"/>
      <c r="P37" s="360" t="s">
        <v>1013</v>
      </c>
      <c r="Q37" s="361" t="s">
        <v>1328</v>
      </c>
      <c r="R37" s="407"/>
      <c r="S37" s="407"/>
      <c r="T37" s="407"/>
      <c r="U37" s="407"/>
    </row>
    <row r="38" spans="1:21" x14ac:dyDescent="0.35">
      <c r="A38" s="408" t="s">
        <v>997</v>
      </c>
      <c r="B38" s="376" t="s">
        <v>1396</v>
      </c>
      <c r="C38" s="395" t="s">
        <v>229</v>
      </c>
      <c r="D38" s="401" t="s">
        <v>1482</v>
      </c>
      <c r="E38" s="406">
        <f t="shared" si="0"/>
        <v>37</v>
      </c>
      <c r="F38" s="358" t="s">
        <v>894</v>
      </c>
      <c r="G38" s="354" t="s">
        <v>895</v>
      </c>
      <c r="H38" s="407" t="s">
        <v>124</v>
      </c>
      <c r="I38" s="407"/>
      <c r="J38" s="407"/>
      <c r="K38" s="407" t="s">
        <v>124</v>
      </c>
      <c r="L38" s="407"/>
      <c r="M38" s="407"/>
      <c r="N38" s="407"/>
      <c r="O38" s="407"/>
      <c r="P38" s="360" t="s">
        <v>1014</v>
      </c>
      <c r="Q38" s="361" t="s">
        <v>960</v>
      </c>
      <c r="R38" s="407"/>
      <c r="S38" s="407"/>
      <c r="T38" s="407"/>
      <c r="U38" s="407"/>
    </row>
    <row r="39" spans="1:21" ht="28" x14ac:dyDescent="0.35">
      <c r="A39" s="408" t="s">
        <v>997</v>
      </c>
      <c r="B39" s="376" t="s">
        <v>413</v>
      </c>
      <c r="C39" s="395" t="s">
        <v>229</v>
      </c>
      <c r="D39" s="401" t="s">
        <v>414</v>
      </c>
      <c r="E39" s="406">
        <f t="shared" si="0"/>
        <v>38</v>
      </c>
      <c r="F39" s="358" t="s">
        <v>896</v>
      </c>
      <c r="G39" s="354" t="s">
        <v>897</v>
      </c>
      <c r="H39" s="407" t="s">
        <v>124</v>
      </c>
      <c r="I39" s="407"/>
      <c r="J39" s="407"/>
      <c r="K39" s="407" t="s">
        <v>124</v>
      </c>
      <c r="L39" s="407"/>
      <c r="M39" s="407"/>
      <c r="N39" s="407"/>
      <c r="O39" s="407"/>
      <c r="P39" s="360" t="s">
        <v>1015</v>
      </c>
      <c r="Q39" s="361" t="s">
        <v>1329</v>
      </c>
      <c r="R39" s="407"/>
      <c r="S39" s="407"/>
      <c r="T39" s="407"/>
      <c r="U39" s="407"/>
    </row>
    <row r="40" spans="1:21" x14ac:dyDescent="0.35">
      <c r="A40" s="408" t="s">
        <v>997</v>
      </c>
      <c r="B40" s="379" t="s">
        <v>418</v>
      </c>
      <c r="C40" s="396" t="s">
        <v>402</v>
      </c>
      <c r="D40" s="403" t="s">
        <v>406</v>
      </c>
      <c r="E40" s="406">
        <f t="shared" si="0"/>
        <v>39</v>
      </c>
      <c r="F40" s="358" t="s">
        <v>898</v>
      </c>
      <c r="G40" s="354" t="s">
        <v>899</v>
      </c>
      <c r="H40" s="407" t="s">
        <v>124</v>
      </c>
      <c r="I40" s="407"/>
      <c r="J40" s="407"/>
      <c r="K40" s="407" t="s">
        <v>124</v>
      </c>
      <c r="L40" s="407"/>
      <c r="M40" s="407"/>
      <c r="N40" s="407"/>
      <c r="O40" s="407"/>
      <c r="P40" s="360" t="s">
        <v>1016</v>
      </c>
      <c r="Q40" s="361" t="s">
        <v>961</v>
      </c>
      <c r="R40" s="407"/>
      <c r="S40" s="407"/>
      <c r="T40" s="407"/>
      <c r="U40" s="407"/>
    </row>
    <row r="41" spans="1:21" ht="28" x14ac:dyDescent="0.35">
      <c r="A41" s="408" t="s">
        <v>997</v>
      </c>
      <c r="B41" s="379" t="s">
        <v>1397</v>
      </c>
      <c r="C41" s="396" t="s">
        <v>229</v>
      </c>
      <c r="D41" s="403" t="s">
        <v>1483</v>
      </c>
      <c r="E41" s="406">
        <f t="shared" si="0"/>
        <v>40</v>
      </c>
      <c r="F41" s="358" t="s">
        <v>900</v>
      </c>
      <c r="G41" s="354" t="s">
        <v>901</v>
      </c>
      <c r="H41" s="407" t="s">
        <v>124</v>
      </c>
      <c r="I41" s="407"/>
      <c r="J41" s="407"/>
      <c r="K41" s="407" t="s">
        <v>124</v>
      </c>
      <c r="L41" s="407"/>
      <c r="M41" s="407"/>
      <c r="N41" s="407"/>
      <c r="O41" s="407"/>
      <c r="P41" s="360" t="s">
        <v>1017</v>
      </c>
      <c r="Q41" s="361" t="s">
        <v>1330</v>
      </c>
      <c r="R41" s="407"/>
      <c r="S41" s="407"/>
      <c r="T41" s="407"/>
      <c r="U41" s="407"/>
    </row>
    <row r="42" spans="1:21" ht="28" x14ac:dyDescent="0.35">
      <c r="A42" s="408" t="s">
        <v>997</v>
      </c>
      <c r="B42" s="379" t="s">
        <v>1398</v>
      </c>
      <c r="C42" s="396" t="s">
        <v>229</v>
      </c>
      <c r="D42" s="403" t="s">
        <v>1484</v>
      </c>
      <c r="E42" s="406">
        <f t="shared" si="0"/>
        <v>41</v>
      </c>
      <c r="F42" s="358" t="s">
        <v>902</v>
      </c>
      <c r="G42" s="354" t="s">
        <v>903</v>
      </c>
      <c r="H42" s="407"/>
      <c r="I42" s="407"/>
      <c r="J42" s="407"/>
      <c r="K42" s="407"/>
      <c r="L42" s="407"/>
      <c r="M42" s="407"/>
      <c r="N42" s="407"/>
      <c r="O42" s="407"/>
      <c r="P42" s="360" t="s">
        <v>1018</v>
      </c>
      <c r="Q42" s="361" t="s">
        <v>941</v>
      </c>
      <c r="R42" s="407"/>
      <c r="S42" s="407"/>
      <c r="T42" s="407"/>
      <c r="U42" s="407"/>
    </row>
    <row r="43" spans="1:21" ht="28" x14ac:dyDescent="0.35">
      <c r="A43" s="408" t="s">
        <v>998</v>
      </c>
      <c r="B43" s="379" t="s">
        <v>1399</v>
      </c>
      <c r="C43" s="396" t="s">
        <v>229</v>
      </c>
      <c r="D43" s="403" t="s">
        <v>1485</v>
      </c>
      <c r="E43" s="406">
        <f t="shared" si="0"/>
        <v>42</v>
      </c>
      <c r="F43" s="358" t="s">
        <v>904</v>
      </c>
      <c r="G43" s="354" t="s">
        <v>905</v>
      </c>
      <c r="H43" s="407"/>
      <c r="I43" s="407"/>
      <c r="J43" s="407"/>
      <c r="K43" s="407"/>
      <c r="L43" s="407"/>
      <c r="M43" s="407"/>
      <c r="N43" s="407"/>
      <c r="O43" s="407"/>
      <c r="P43" s="360" t="s">
        <v>1019</v>
      </c>
      <c r="Q43" s="361" t="s">
        <v>942</v>
      </c>
      <c r="R43" s="407"/>
      <c r="S43" s="407"/>
      <c r="T43" s="407"/>
      <c r="U43" s="407"/>
    </row>
    <row r="44" spans="1:21" ht="28" x14ac:dyDescent="0.35">
      <c r="A44" s="408" t="s">
        <v>999</v>
      </c>
      <c r="B44" s="376" t="s">
        <v>419</v>
      </c>
      <c r="C44" s="393" t="s">
        <v>360</v>
      </c>
      <c r="D44" s="401" t="s">
        <v>420</v>
      </c>
      <c r="E44" s="406">
        <f t="shared" si="0"/>
        <v>43</v>
      </c>
      <c r="F44" s="358" t="s">
        <v>906</v>
      </c>
      <c r="G44" s="354" t="s">
        <v>1298</v>
      </c>
      <c r="H44" s="407"/>
      <c r="I44" s="407"/>
      <c r="J44" s="407"/>
      <c r="K44" s="407"/>
      <c r="L44" s="407"/>
      <c r="M44" s="407"/>
      <c r="N44" s="407"/>
      <c r="O44" s="407"/>
      <c r="P44" s="360" t="s">
        <v>1020</v>
      </c>
      <c r="Q44" s="361" t="s">
        <v>932</v>
      </c>
      <c r="R44" s="407"/>
      <c r="S44" s="407"/>
      <c r="T44" s="407"/>
      <c r="U44" s="407"/>
    </row>
    <row r="45" spans="1:21" ht="28" x14ac:dyDescent="0.35">
      <c r="A45" s="408" t="s">
        <v>1000</v>
      </c>
      <c r="B45" s="376" t="s">
        <v>421</v>
      </c>
      <c r="C45" s="393" t="s">
        <v>402</v>
      </c>
      <c r="D45" s="401" t="s">
        <v>1486</v>
      </c>
      <c r="E45" s="406">
        <f t="shared" si="0"/>
        <v>44</v>
      </c>
      <c r="F45" s="358" t="s">
        <v>907</v>
      </c>
      <c r="G45" s="354" t="s">
        <v>908</v>
      </c>
      <c r="H45" s="407"/>
      <c r="I45" s="407"/>
      <c r="J45" s="407"/>
      <c r="K45" s="407"/>
      <c r="L45" s="407"/>
      <c r="M45" s="407"/>
      <c r="N45" s="407"/>
      <c r="O45" s="407"/>
      <c r="P45" s="360" t="s">
        <v>1331</v>
      </c>
      <c r="Q45" s="361" t="s">
        <v>1332</v>
      </c>
      <c r="R45" s="407"/>
      <c r="S45" s="407"/>
      <c r="T45" s="407"/>
      <c r="U45" s="407"/>
    </row>
    <row r="46" spans="1:21" x14ac:dyDescent="0.35">
      <c r="A46" s="408"/>
      <c r="B46" s="376" t="s">
        <v>1163</v>
      </c>
      <c r="C46" s="393" t="s">
        <v>400</v>
      </c>
      <c r="D46" s="401" t="s">
        <v>1183</v>
      </c>
      <c r="E46" s="406">
        <f t="shared" si="0"/>
        <v>45</v>
      </c>
      <c r="F46" s="358" t="s">
        <v>909</v>
      </c>
      <c r="G46" s="354" t="s">
        <v>910</v>
      </c>
      <c r="H46" s="407"/>
      <c r="I46" s="407"/>
      <c r="J46" s="407"/>
      <c r="K46" s="407"/>
      <c r="L46" s="407"/>
      <c r="M46" s="407"/>
      <c r="N46" s="407"/>
      <c r="O46" s="407"/>
      <c r="P46" s="360" t="s">
        <v>1021</v>
      </c>
      <c r="Q46" s="361" t="s">
        <v>972</v>
      </c>
      <c r="R46" s="407"/>
      <c r="S46" s="407"/>
      <c r="T46" s="407"/>
      <c r="U46" s="407"/>
    </row>
    <row r="47" spans="1:21" ht="28" x14ac:dyDescent="0.35">
      <c r="A47" s="408"/>
      <c r="B47" s="376" t="s">
        <v>1164</v>
      </c>
      <c r="C47" s="393" t="s">
        <v>400</v>
      </c>
      <c r="D47" s="401" t="s">
        <v>422</v>
      </c>
      <c r="E47" s="406">
        <f t="shared" si="0"/>
        <v>46</v>
      </c>
      <c r="F47" s="358" t="s">
        <v>911</v>
      </c>
      <c r="G47" s="354" t="s">
        <v>912</v>
      </c>
      <c r="H47" s="407"/>
      <c r="I47" s="407"/>
      <c r="J47" s="407"/>
      <c r="K47" s="407"/>
      <c r="L47" s="407"/>
      <c r="M47" s="407"/>
      <c r="N47" s="407"/>
      <c r="O47" s="407"/>
      <c r="P47" s="360" t="s">
        <v>1022</v>
      </c>
      <c r="Q47" s="361" t="s">
        <v>1333</v>
      </c>
      <c r="R47" s="407"/>
      <c r="S47" s="407"/>
      <c r="T47" s="407"/>
      <c r="U47" s="407"/>
    </row>
    <row r="48" spans="1:21" x14ac:dyDescent="0.35">
      <c r="A48" s="408"/>
      <c r="B48" s="376" t="s">
        <v>1165</v>
      </c>
      <c r="C48" s="393" t="s">
        <v>400</v>
      </c>
      <c r="D48" s="401" t="s">
        <v>1487</v>
      </c>
      <c r="E48" s="406">
        <f t="shared" si="0"/>
        <v>47</v>
      </c>
      <c r="F48" s="358" t="s">
        <v>1299</v>
      </c>
      <c r="G48" s="354" t="s">
        <v>1300</v>
      </c>
      <c r="H48" s="407" t="s">
        <v>124</v>
      </c>
      <c r="I48" s="407"/>
      <c r="J48" s="407"/>
      <c r="K48" s="407" t="s">
        <v>124</v>
      </c>
      <c r="L48" s="407"/>
      <c r="M48" s="407"/>
      <c r="N48" s="407"/>
      <c r="O48" s="407"/>
      <c r="P48" s="360" t="s">
        <v>1023</v>
      </c>
      <c r="Q48" s="361" t="s">
        <v>932</v>
      </c>
      <c r="R48" s="407"/>
      <c r="S48" s="407"/>
      <c r="T48" s="407"/>
      <c r="U48" s="407"/>
    </row>
    <row r="49" spans="1:21" x14ac:dyDescent="0.35">
      <c r="A49" s="408"/>
      <c r="B49" s="376" t="s">
        <v>1166</v>
      </c>
      <c r="C49" s="393" t="s">
        <v>400</v>
      </c>
      <c r="D49" s="401" t="s">
        <v>1184</v>
      </c>
      <c r="E49" s="406">
        <f t="shared" si="0"/>
        <v>48</v>
      </c>
      <c r="F49" s="358" t="s">
        <v>1162</v>
      </c>
      <c r="G49" s="354" t="s">
        <v>1301</v>
      </c>
      <c r="H49" s="407" t="s">
        <v>124</v>
      </c>
      <c r="I49" s="407"/>
      <c r="J49" s="407"/>
      <c r="K49" s="407" t="s">
        <v>124</v>
      </c>
      <c r="L49" s="407"/>
      <c r="M49" s="407"/>
      <c r="N49" s="407"/>
      <c r="O49" s="407"/>
      <c r="P49" s="360" t="s">
        <v>1024</v>
      </c>
      <c r="Q49" s="361" t="s">
        <v>973</v>
      </c>
      <c r="R49" s="407"/>
      <c r="S49" s="407"/>
      <c r="T49" s="407"/>
      <c r="U49" s="407"/>
    </row>
    <row r="50" spans="1:21" ht="28" x14ac:dyDescent="0.35">
      <c r="A50" s="408"/>
      <c r="B50" s="376" t="s">
        <v>427</v>
      </c>
      <c r="C50" s="393" t="s">
        <v>360</v>
      </c>
      <c r="D50" s="401" t="s">
        <v>428</v>
      </c>
      <c r="E50" s="406">
        <f t="shared" si="0"/>
        <v>49</v>
      </c>
      <c r="F50" s="358" t="s">
        <v>913</v>
      </c>
      <c r="G50" s="354" t="s">
        <v>914</v>
      </c>
      <c r="H50" s="407" t="s">
        <v>124</v>
      </c>
      <c r="I50" s="407"/>
      <c r="J50" s="407"/>
      <c r="K50" s="407" t="s">
        <v>124</v>
      </c>
      <c r="L50" s="407"/>
      <c r="M50" s="407"/>
      <c r="N50" s="407"/>
      <c r="O50" s="407"/>
      <c r="P50" s="360" t="s">
        <v>1025</v>
      </c>
      <c r="Q50" s="361" t="s">
        <v>943</v>
      </c>
      <c r="R50" s="407"/>
      <c r="S50" s="407"/>
      <c r="T50" s="407"/>
      <c r="U50" s="407"/>
    </row>
    <row r="51" spans="1:21" ht="28" x14ac:dyDescent="0.35">
      <c r="A51" s="408"/>
      <c r="B51" s="376" t="s">
        <v>1400</v>
      </c>
      <c r="C51" s="393" t="s">
        <v>360</v>
      </c>
      <c r="D51" s="401" t="s">
        <v>428</v>
      </c>
      <c r="E51" s="406">
        <f t="shared" si="0"/>
        <v>50</v>
      </c>
      <c r="F51" s="359" t="s">
        <v>915</v>
      </c>
      <c r="G51" s="355" t="s">
        <v>916</v>
      </c>
      <c r="H51" s="407" t="s">
        <v>124</v>
      </c>
      <c r="I51" s="407"/>
      <c r="J51" s="407"/>
      <c r="K51" s="407" t="s">
        <v>124</v>
      </c>
      <c r="L51" s="407"/>
      <c r="M51" s="407"/>
      <c r="N51" s="407"/>
      <c r="O51" s="407"/>
      <c r="P51" s="360" t="s">
        <v>1026</v>
      </c>
      <c r="Q51" s="361" t="s">
        <v>974</v>
      </c>
      <c r="R51" s="407"/>
      <c r="S51" s="407"/>
      <c r="T51" s="407"/>
      <c r="U51" s="407"/>
    </row>
    <row r="52" spans="1:21" x14ac:dyDescent="0.35">
      <c r="A52" s="408"/>
      <c r="B52" s="376" t="s">
        <v>1401</v>
      </c>
      <c r="C52" s="393" t="s">
        <v>360</v>
      </c>
      <c r="D52" s="401" t="s">
        <v>423</v>
      </c>
      <c r="E52" s="406">
        <f t="shared" si="0"/>
        <v>51</v>
      </c>
      <c r="F52" s="412" t="s">
        <v>917</v>
      </c>
      <c r="G52" s="413" t="s">
        <v>918</v>
      </c>
      <c r="H52" s="407" t="s">
        <v>124</v>
      </c>
      <c r="I52" s="407"/>
      <c r="J52" s="407"/>
      <c r="K52" s="407" t="s">
        <v>124</v>
      </c>
      <c r="L52" s="407"/>
      <c r="M52" s="407"/>
      <c r="N52" s="407"/>
      <c r="O52" s="407"/>
      <c r="P52" s="360" t="s">
        <v>1027</v>
      </c>
      <c r="Q52" s="361" t="s">
        <v>932</v>
      </c>
      <c r="R52" s="407"/>
      <c r="S52" s="407"/>
      <c r="T52" s="407"/>
      <c r="U52" s="407"/>
    </row>
    <row r="53" spans="1:21" x14ac:dyDescent="0.35">
      <c r="A53" s="408"/>
      <c r="B53" s="376" t="s">
        <v>1402</v>
      </c>
      <c r="C53" s="393" t="s">
        <v>360</v>
      </c>
      <c r="D53" s="401" t="s">
        <v>433</v>
      </c>
      <c r="E53" s="406">
        <f t="shared" si="0"/>
        <v>52</v>
      </c>
      <c r="F53" s="414"/>
      <c r="G53" s="415"/>
      <c r="H53" s="407" t="s">
        <v>124</v>
      </c>
      <c r="I53" s="407"/>
      <c r="J53" s="407"/>
      <c r="K53" s="407" t="s">
        <v>124</v>
      </c>
      <c r="L53" s="407"/>
      <c r="M53" s="407"/>
      <c r="N53" s="407"/>
      <c r="O53" s="407"/>
      <c r="P53" s="360" t="s">
        <v>1028</v>
      </c>
      <c r="Q53" s="361" t="s">
        <v>1334</v>
      </c>
      <c r="R53" s="407"/>
      <c r="S53" s="407"/>
      <c r="T53" s="407"/>
      <c r="U53" s="407"/>
    </row>
    <row r="54" spans="1:21" x14ac:dyDescent="0.35">
      <c r="A54" s="408"/>
      <c r="B54" s="376" t="s">
        <v>1403</v>
      </c>
      <c r="C54" s="393" t="s">
        <v>360</v>
      </c>
      <c r="D54" s="401" t="s">
        <v>424</v>
      </c>
      <c r="E54" s="406">
        <f t="shared" si="0"/>
        <v>53</v>
      </c>
      <c r="H54" s="407" t="s">
        <v>124</v>
      </c>
      <c r="I54" s="407"/>
      <c r="J54" s="407"/>
      <c r="K54" s="407" t="s">
        <v>124</v>
      </c>
      <c r="L54" s="407"/>
      <c r="M54" s="407"/>
      <c r="N54" s="407"/>
      <c r="O54" s="407"/>
      <c r="P54" s="360" t="s">
        <v>1029</v>
      </c>
      <c r="Q54" s="361" t="s">
        <v>944</v>
      </c>
      <c r="R54" s="407"/>
      <c r="S54" s="407"/>
      <c r="T54" s="407"/>
      <c r="U54" s="407"/>
    </row>
    <row r="55" spans="1:21" x14ac:dyDescent="0.35">
      <c r="A55" s="408"/>
      <c r="B55" s="376" t="s">
        <v>1404</v>
      </c>
      <c r="C55" s="393" t="s">
        <v>360</v>
      </c>
      <c r="D55" s="401" t="s">
        <v>425</v>
      </c>
      <c r="E55" s="406">
        <f t="shared" si="0"/>
        <v>54</v>
      </c>
      <c r="F55" s="406"/>
      <c r="G55" s="407"/>
      <c r="H55" s="407" t="s">
        <v>124</v>
      </c>
      <c r="I55" s="407"/>
      <c r="J55" s="407"/>
      <c r="K55" s="407" t="s">
        <v>124</v>
      </c>
      <c r="L55" s="407"/>
      <c r="M55" s="407"/>
      <c r="N55" s="407"/>
      <c r="O55" s="407"/>
      <c r="P55" s="360" t="s">
        <v>1030</v>
      </c>
      <c r="Q55" s="361" t="s">
        <v>1335</v>
      </c>
      <c r="R55" s="407"/>
      <c r="S55" s="407"/>
      <c r="T55" s="407"/>
      <c r="U55" s="407"/>
    </row>
    <row r="56" spans="1:21" ht="28" x14ac:dyDescent="0.35">
      <c r="A56" s="408"/>
      <c r="B56" s="376" t="s">
        <v>1405</v>
      </c>
      <c r="C56" s="393" t="s">
        <v>360</v>
      </c>
      <c r="D56" s="401" t="s">
        <v>428</v>
      </c>
      <c r="E56" s="406">
        <f t="shared" si="0"/>
        <v>55</v>
      </c>
      <c r="F56" s="406"/>
      <c r="G56" s="407"/>
      <c r="H56" s="407" t="s">
        <v>124</v>
      </c>
      <c r="I56" s="407"/>
      <c r="J56" s="407"/>
      <c r="K56" s="407" t="s">
        <v>124</v>
      </c>
      <c r="L56" s="407"/>
      <c r="M56" s="407"/>
      <c r="N56" s="407"/>
      <c r="O56" s="407"/>
      <c r="P56" s="360" t="s">
        <v>1336</v>
      </c>
      <c r="Q56" s="361" t="s">
        <v>934</v>
      </c>
      <c r="R56" s="407"/>
      <c r="S56" s="407"/>
      <c r="T56" s="407"/>
      <c r="U56" s="407"/>
    </row>
    <row r="57" spans="1:21" ht="28" x14ac:dyDescent="0.35">
      <c r="A57" s="408"/>
      <c r="B57" s="376" t="s">
        <v>1406</v>
      </c>
      <c r="C57" s="393" t="s">
        <v>360</v>
      </c>
      <c r="D57" s="401" t="s">
        <v>429</v>
      </c>
      <c r="E57" s="406">
        <f t="shared" si="0"/>
        <v>56</v>
      </c>
      <c r="F57" s="406"/>
      <c r="G57" s="407"/>
      <c r="H57" s="407" t="s">
        <v>124</v>
      </c>
      <c r="I57" s="407"/>
      <c r="J57" s="407"/>
      <c r="K57" s="407" t="s">
        <v>124</v>
      </c>
      <c r="L57" s="407"/>
      <c r="M57" s="407"/>
      <c r="N57" s="407"/>
      <c r="O57" s="407"/>
      <c r="P57" s="360" t="s">
        <v>1168</v>
      </c>
      <c r="Q57" s="361" t="s">
        <v>1175</v>
      </c>
      <c r="R57" s="407"/>
      <c r="S57" s="407"/>
      <c r="T57" s="407"/>
      <c r="U57" s="407"/>
    </row>
    <row r="58" spans="1:21" ht="28" x14ac:dyDescent="0.35">
      <c r="A58" s="408"/>
      <c r="B58" s="376" t="s">
        <v>1407</v>
      </c>
      <c r="C58" s="393" t="s">
        <v>360</v>
      </c>
      <c r="D58" s="401" t="s">
        <v>430</v>
      </c>
      <c r="E58" s="406">
        <f t="shared" si="0"/>
        <v>57</v>
      </c>
      <c r="F58" s="406"/>
      <c r="G58" s="407"/>
      <c r="H58" s="407" t="s">
        <v>124</v>
      </c>
      <c r="I58" s="407"/>
      <c r="J58" s="407"/>
      <c r="K58" s="407" t="s">
        <v>124</v>
      </c>
      <c r="L58" s="407"/>
      <c r="M58" s="407"/>
      <c r="N58" s="407"/>
      <c r="O58" s="407"/>
      <c r="P58" s="360" t="s">
        <v>1169</v>
      </c>
      <c r="Q58" s="361" t="s">
        <v>1176</v>
      </c>
      <c r="R58" s="407"/>
      <c r="S58" s="407"/>
      <c r="T58" s="407"/>
      <c r="U58" s="407"/>
    </row>
    <row r="59" spans="1:21" ht="28" x14ac:dyDescent="0.35">
      <c r="A59" s="408"/>
      <c r="B59" s="376" t="s">
        <v>1408</v>
      </c>
      <c r="C59" s="393" t="s">
        <v>360</v>
      </c>
      <c r="D59" s="401" t="s">
        <v>431</v>
      </c>
      <c r="E59" s="406">
        <f t="shared" si="0"/>
        <v>58</v>
      </c>
      <c r="F59" s="406"/>
      <c r="G59" s="407"/>
      <c r="H59" s="407" t="s">
        <v>124</v>
      </c>
      <c r="I59" s="407"/>
      <c r="J59" s="407"/>
      <c r="K59" s="407" t="s">
        <v>124</v>
      </c>
      <c r="L59" s="407"/>
      <c r="M59" s="407"/>
      <c r="N59" s="407"/>
      <c r="O59" s="407"/>
      <c r="P59" s="360" t="s">
        <v>1139</v>
      </c>
      <c r="Q59" s="361" t="s">
        <v>1337</v>
      </c>
      <c r="R59" s="407"/>
      <c r="S59" s="407"/>
      <c r="T59" s="407"/>
      <c r="U59" s="407"/>
    </row>
    <row r="60" spans="1:21" ht="28" x14ac:dyDescent="0.35">
      <c r="A60" s="408"/>
      <c r="B60" s="376" t="s">
        <v>1409</v>
      </c>
      <c r="C60" s="393" t="s">
        <v>360</v>
      </c>
      <c r="D60" s="401" t="s">
        <v>432</v>
      </c>
      <c r="E60" s="406">
        <f t="shared" si="0"/>
        <v>59</v>
      </c>
      <c r="F60" s="406"/>
      <c r="G60" s="407"/>
      <c r="H60" s="407" t="s">
        <v>124</v>
      </c>
      <c r="I60" s="407"/>
      <c r="J60" s="407"/>
      <c r="K60" s="407" t="s">
        <v>124</v>
      </c>
      <c r="L60" s="407"/>
      <c r="M60" s="407"/>
      <c r="N60" s="407"/>
      <c r="O60" s="407"/>
      <c r="P60" s="360" t="s">
        <v>1031</v>
      </c>
      <c r="Q60" s="361" t="s">
        <v>984</v>
      </c>
      <c r="R60" s="407"/>
      <c r="S60" s="407"/>
      <c r="T60" s="407"/>
      <c r="U60" s="407"/>
    </row>
    <row r="61" spans="1:21" x14ac:dyDescent="0.35">
      <c r="A61" s="408"/>
      <c r="B61" s="376" t="s">
        <v>1410</v>
      </c>
      <c r="C61" s="393" t="s">
        <v>360</v>
      </c>
      <c r="D61" s="401" t="s">
        <v>426</v>
      </c>
      <c r="E61" s="406">
        <f t="shared" si="0"/>
        <v>60</v>
      </c>
      <c r="F61" s="406"/>
      <c r="G61" s="407"/>
      <c r="H61" s="407" t="s">
        <v>124</v>
      </c>
      <c r="I61" s="407"/>
      <c r="J61" s="407"/>
      <c r="K61" s="407" t="s">
        <v>124</v>
      </c>
      <c r="L61" s="407"/>
      <c r="M61" s="407"/>
      <c r="N61" s="407"/>
      <c r="O61" s="407"/>
      <c r="P61" s="360" t="s">
        <v>1032</v>
      </c>
      <c r="Q61" s="361" t="s">
        <v>932</v>
      </c>
      <c r="R61" s="407"/>
      <c r="S61" s="407"/>
      <c r="T61" s="407"/>
      <c r="U61" s="407"/>
    </row>
    <row r="62" spans="1:21" ht="28" x14ac:dyDescent="0.35">
      <c r="A62" s="408"/>
      <c r="B62" s="376" t="s">
        <v>1411</v>
      </c>
      <c r="C62" s="393" t="s">
        <v>360</v>
      </c>
      <c r="D62" s="401" t="s">
        <v>428</v>
      </c>
      <c r="E62" s="406">
        <f t="shared" si="0"/>
        <v>61</v>
      </c>
      <c r="F62" s="406"/>
      <c r="G62" s="407"/>
      <c r="H62" s="407" t="s">
        <v>124</v>
      </c>
      <c r="I62" s="407"/>
      <c r="J62" s="407"/>
      <c r="K62" s="407" t="s">
        <v>124</v>
      </c>
      <c r="L62" s="407"/>
      <c r="M62" s="407"/>
      <c r="N62" s="407"/>
      <c r="O62" s="407"/>
      <c r="P62" s="360" t="s">
        <v>1033</v>
      </c>
      <c r="Q62" s="361" t="s">
        <v>1144</v>
      </c>
      <c r="R62" s="407"/>
      <c r="S62" s="407"/>
      <c r="T62" s="407"/>
      <c r="U62" s="407"/>
    </row>
    <row r="63" spans="1:21" ht="28" x14ac:dyDescent="0.35">
      <c r="A63" s="408"/>
      <c r="B63" s="376" t="s">
        <v>1412</v>
      </c>
      <c r="C63" s="393" t="s">
        <v>360</v>
      </c>
      <c r="D63" s="401" t="s">
        <v>428</v>
      </c>
      <c r="E63" s="406">
        <f t="shared" si="0"/>
        <v>62</v>
      </c>
      <c r="F63" s="406"/>
      <c r="G63" s="407"/>
      <c r="H63" s="407" t="s">
        <v>124</v>
      </c>
      <c r="I63" s="407"/>
      <c r="J63" s="407"/>
      <c r="K63" s="407" t="s">
        <v>124</v>
      </c>
      <c r="L63" s="407"/>
      <c r="M63" s="407"/>
      <c r="N63" s="407"/>
      <c r="O63" s="407"/>
      <c r="P63" s="360" t="s">
        <v>1034</v>
      </c>
      <c r="Q63" s="361" t="s">
        <v>1338</v>
      </c>
      <c r="R63" s="407"/>
      <c r="S63" s="407"/>
      <c r="T63" s="407"/>
      <c r="U63" s="407"/>
    </row>
    <row r="64" spans="1:21" ht="28" x14ac:dyDescent="0.35">
      <c r="A64" s="408"/>
      <c r="B64" s="376" t="s">
        <v>1413</v>
      </c>
      <c r="C64" s="393" t="s">
        <v>360</v>
      </c>
      <c r="D64" s="401" t="s">
        <v>428</v>
      </c>
      <c r="E64" s="406">
        <f t="shared" si="0"/>
        <v>63</v>
      </c>
      <c r="F64" s="406"/>
      <c r="G64" s="407"/>
      <c r="H64" s="407" t="s">
        <v>124</v>
      </c>
      <c r="I64" s="407"/>
      <c r="J64" s="407"/>
      <c r="K64" s="407" t="s">
        <v>124</v>
      </c>
      <c r="L64" s="407"/>
      <c r="M64" s="407"/>
      <c r="N64" s="407"/>
      <c r="O64" s="407"/>
      <c r="P64" s="360" t="s">
        <v>1035</v>
      </c>
      <c r="Q64" s="361" t="s">
        <v>945</v>
      </c>
      <c r="R64" s="407"/>
      <c r="S64" s="407"/>
      <c r="T64" s="407"/>
      <c r="U64" s="407"/>
    </row>
    <row r="65" spans="1:21" ht="28" x14ac:dyDescent="0.35">
      <c r="A65" s="408"/>
      <c r="B65" s="376" t="s">
        <v>1414</v>
      </c>
      <c r="C65" s="393" t="s">
        <v>360</v>
      </c>
      <c r="D65" s="401" t="s">
        <v>428</v>
      </c>
      <c r="E65" s="406">
        <f t="shared" si="0"/>
        <v>64</v>
      </c>
      <c r="F65" s="406"/>
      <c r="G65" s="407"/>
      <c r="H65" s="407" t="s">
        <v>124</v>
      </c>
      <c r="I65" s="407"/>
      <c r="J65" s="407"/>
      <c r="K65" s="407" t="s">
        <v>124</v>
      </c>
      <c r="L65" s="407"/>
      <c r="M65" s="407"/>
      <c r="N65" s="407"/>
      <c r="O65" s="407"/>
      <c r="P65" s="360" t="s">
        <v>1036</v>
      </c>
      <c r="Q65" s="361" t="s">
        <v>964</v>
      </c>
      <c r="R65" s="407"/>
      <c r="S65" s="407"/>
      <c r="T65" s="407"/>
      <c r="U65" s="407"/>
    </row>
    <row r="66" spans="1:21" ht="28" x14ac:dyDescent="0.35">
      <c r="A66" s="408"/>
      <c r="B66" s="376" t="s">
        <v>1415</v>
      </c>
      <c r="C66" s="393" t="s">
        <v>360</v>
      </c>
      <c r="D66" s="401" t="s">
        <v>428</v>
      </c>
      <c r="E66" s="406">
        <f t="shared" si="0"/>
        <v>65</v>
      </c>
      <c r="F66" s="406"/>
      <c r="G66" s="407"/>
      <c r="H66" s="407" t="s">
        <v>124</v>
      </c>
      <c r="I66" s="407"/>
      <c r="J66" s="407"/>
      <c r="K66" s="407" t="s">
        <v>124</v>
      </c>
      <c r="L66" s="407"/>
      <c r="M66" s="407"/>
      <c r="N66" s="407"/>
      <c r="O66" s="407"/>
      <c r="P66" s="360" t="s">
        <v>1037</v>
      </c>
      <c r="Q66" s="361" t="s">
        <v>962</v>
      </c>
      <c r="R66" s="407"/>
      <c r="S66" s="407"/>
      <c r="T66" s="407"/>
      <c r="U66" s="407"/>
    </row>
    <row r="67" spans="1:21" ht="28" x14ac:dyDescent="0.35">
      <c r="A67" s="408"/>
      <c r="B67" s="376" t="s">
        <v>1416</v>
      </c>
      <c r="C67" s="393" t="s">
        <v>360</v>
      </c>
      <c r="D67" s="401" t="s">
        <v>428</v>
      </c>
      <c r="E67" s="406">
        <f t="shared" si="0"/>
        <v>66</v>
      </c>
      <c r="F67" s="406"/>
      <c r="G67" s="407"/>
      <c r="H67" s="407" t="s">
        <v>124</v>
      </c>
      <c r="I67" s="407"/>
      <c r="J67" s="407"/>
      <c r="K67" s="407" t="s">
        <v>124</v>
      </c>
      <c r="L67" s="407"/>
      <c r="M67" s="407"/>
      <c r="N67" s="407"/>
      <c r="O67" s="407"/>
      <c r="P67" s="360" t="s">
        <v>1038</v>
      </c>
      <c r="Q67" s="361" t="s">
        <v>932</v>
      </c>
      <c r="R67" s="407"/>
      <c r="S67" s="407"/>
      <c r="T67" s="407"/>
      <c r="U67" s="407"/>
    </row>
    <row r="68" spans="1:21" ht="28" x14ac:dyDescent="0.35">
      <c r="A68" s="408"/>
      <c r="B68" s="376" t="s">
        <v>1417</v>
      </c>
      <c r="C68" s="393" t="s">
        <v>360</v>
      </c>
      <c r="D68" s="401" t="s">
        <v>428</v>
      </c>
      <c r="E68" s="406">
        <f t="shared" ref="E68:E131" si="1">E67+1</f>
        <v>67</v>
      </c>
      <c r="F68" s="406"/>
      <c r="G68" s="407"/>
      <c r="H68" s="407" t="s">
        <v>124</v>
      </c>
      <c r="I68" s="407"/>
      <c r="J68" s="407"/>
      <c r="K68" s="407" t="s">
        <v>124</v>
      </c>
      <c r="L68" s="407"/>
      <c r="M68" s="407"/>
      <c r="N68" s="407"/>
      <c r="O68" s="407"/>
      <c r="P68" s="360" t="s">
        <v>1039</v>
      </c>
      <c r="Q68" s="361" t="s">
        <v>946</v>
      </c>
      <c r="R68" s="407"/>
      <c r="S68" s="407"/>
      <c r="T68" s="407"/>
      <c r="U68" s="407"/>
    </row>
    <row r="69" spans="1:21" x14ac:dyDescent="0.35">
      <c r="A69" s="408"/>
      <c r="B69" s="376" t="s">
        <v>434</v>
      </c>
      <c r="C69" s="393" t="s">
        <v>360</v>
      </c>
      <c r="D69" s="401" t="s">
        <v>435</v>
      </c>
      <c r="E69" s="406">
        <f t="shared" si="1"/>
        <v>68</v>
      </c>
      <c r="F69" s="406"/>
      <c r="G69" s="407"/>
      <c r="H69" s="407" t="s">
        <v>124</v>
      </c>
      <c r="I69" s="407"/>
      <c r="J69" s="407"/>
      <c r="K69" s="407" t="s">
        <v>124</v>
      </c>
      <c r="L69" s="407"/>
      <c r="M69" s="407"/>
      <c r="N69" s="407"/>
      <c r="O69" s="407"/>
      <c r="P69" s="360" t="s">
        <v>1040</v>
      </c>
      <c r="Q69" s="361" t="s">
        <v>947</v>
      </c>
      <c r="R69" s="407"/>
      <c r="S69" s="407"/>
      <c r="T69" s="407"/>
      <c r="U69" s="407"/>
    </row>
    <row r="70" spans="1:21" x14ac:dyDescent="0.35">
      <c r="A70" s="408"/>
      <c r="B70" s="376" t="s">
        <v>436</v>
      </c>
      <c r="C70" s="393" t="s">
        <v>360</v>
      </c>
      <c r="D70" s="401" t="s">
        <v>437</v>
      </c>
      <c r="E70" s="406">
        <f t="shared" si="1"/>
        <v>69</v>
      </c>
      <c r="F70" s="406"/>
      <c r="G70" s="407"/>
      <c r="H70" s="407" t="s">
        <v>124</v>
      </c>
      <c r="I70" s="407"/>
      <c r="J70" s="407"/>
      <c r="K70" s="407" t="s">
        <v>124</v>
      </c>
      <c r="L70" s="407"/>
      <c r="M70" s="407"/>
      <c r="N70" s="407"/>
      <c r="O70" s="407"/>
      <c r="P70" s="360" t="s">
        <v>1041</v>
      </c>
      <c r="Q70" s="361" t="s">
        <v>948</v>
      </c>
      <c r="R70" s="407"/>
      <c r="S70" s="407"/>
      <c r="T70" s="407"/>
      <c r="U70" s="407"/>
    </row>
    <row r="71" spans="1:21" x14ac:dyDescent="0.35">
      <c r="A71" s="408"/>
      <c r="B71" s="376" t="s">
        <v>438</v>
      </c>
      <c r="C71" s="393" t="s">
        <v>360</v>
      </c>
      <c r="D71" s="401" t="s">
        <v>439</v>
      </c>
      <c r="E71" s="406">
        <f t="shared" si="1"/>
        <v>70</v>
      </c>
      <c r="F71" s="406"/>
      <c r="G71" s="407"/>
      <c r="H71" s="407" t="s">
        <v>124</v>
      </c>
      <c r="I71" s="407"/>
      <c r="J71" s="407"/>
      <c r="K71" s="407" t="s">
        <v>124</v>
      </c>
      <c r="L71" s="407"/>
      <c r="M71" s="407"/>
      <c r="N71" s="407"/>
      <c r="O71" s="407"/>
      <c r="P71" s="360" t="s">
        <v>1042</v>
      </c>
      <c r="Q71" s="361" t="s">
        <v>1339</v>
      </c>
      <c r="R71" s="407"/>
      <c r="S71" s="407"/>
      <c r="T71" s="407"/>
      <c r="U71" s="407"/>
    </row>
    <row r="72" spans="1:21" x14ac:dyDescent="0.35">
      <c r="A72" s="408"/>
      <c r="B72" s="376" t="s">
        <v>440</v>
      </c>
      <c r="C72" s="393" t="s">
        <v>360</v>
      </c>
      <c r="D72" s="401" t="s">
        <v>441</v>
      </c>
      <c r="E72" s="406">
        <f t="shared" si="1"/>
        <v>71</v>
      </c>
      <c r="F72" s="406"/>
      <c r="G72" s="407"/>
      <c r="H72" s="407" t="s">
        <v>124</v>
      </c>
      <c r="I72" s="407"/>
      <c r="J72" s="407"/>
      <c r="K72" s="407" t="s">
        <v>124</v>
      </c>
      <c r="L72" s="407"/>
      <c r="M72" s="407"/>
      <c r="N72" s="407"/>
      <c r="O72" s="407"/>
      <c r="P72" s="360" t="s">
        <v>1043</v>
      </c>
      <c r="Q72" s="361" t="s">
        <v>949</v>
      </c>
      <c r="R72" s="407"/>
      <c r="S72" s="407"/>
      <c r="T72" s="407"/>
      <c r="U72" s="407"/>
    </row>
    <row r="73" spans="1:21" ht="28" x14ac:dyDescent="0.35">
      <c r="A73" s="408"/>
      <c r="B73" s="376" t="s">
        <v>442</v>
      </c>
      <c r="C73" s="393" t="s">
        <v>360</v>
      </c>
      <c r="D73" s="401" t="s">
        <v>443</v>
      </c>
      <c r="E73" s="406">
        <f t="shared" si="1"/>
        <v>72</v>
      </c>
      <c r="F73" s="406"/>
      <c r="G73" s="407"/>
      <c r="H73" s="407" t="s">
        <v>124</v>
      </c>
      <c r="I73" s="407"/>
      <c r="J73" s="407"/>
      <c r="K73" s="407" t="s">
        <v>124</v>
      </c>
      <c r="L73" s="407"/>
      <c r="M73" s="407"/>
      <c r="N73" s="407"/>
      <c r="O73" s="407"/>
      <c r="P73" s="360" t="s">
        <v>1044</v>
      </c>
      <c r="Q73" s="361" t="s">
        <v>981</v>
      </c>
      <c r="R73" s="407"/>
      <c r="S73" s="407"/>
      <c r="T73" s="407"/>
      <c r="U73" s="407"/>
    </row>
    <row r="74" spans="1:21" ht="28" x14ac:dyDescent="0.35">
      <c r="A74" s="408"/>
      <c r="B74" s="376" t="s">
        <v>444</v>
      </c>
      <c r="C74" s="393" t="s">
        <v>360</v>
      </c>
      <c r="D74" s="401" t="s">
        <v>445</v>
      </c>
      <c r="E74" s="406">
        <f t="shared" si="1"/>
        <v>73</v>
      </c>
      <c r="F74" s="406"/>
      <c r="G74" s="407"/>
      <c r="H74" s="407" t="s">
        <v>124</v>
      </c>
      <c r="I74" s="407"/>
      <c r="J74" s="407"/>
      <c r="K74" s="407" t="s">
        <v>124</v>
      </c>
      <c r="L74" s="407"/>
      <c r="M74" s="407"/>
      <c r="N74" s="407"/>
      <c r="O74" s="407"/>
      <c r="P74" s="360" t="s">
        <v>1045</v>
      </c>
      <c r="Q74" s="361" t="s">
        <v>982</v>
      </c>
      <c r="R74" s="407"/>
      <c r="S74" s="407"/>
      <c r="T74" s="407"/>
      <c r="U74" s="407"/>
    </row>
    <row r="75" spans="1:21" ht="28" x14ac:dyDescent="0.35">
      <c r="A75" s="408"/>
      <c r="B75" s="376" t="s">
        <v>170</v>
      </c>
      <c r="C75" s="393" t="s">
        <v>360</v>
      </c>
      <c r="D75" s="401" t="s">
        <v>446</v>
      </c>
      <c r="E75" s="406">
        <f t="shared" si="1"/>
        <v>74</v>
      </c>
      <c r="F75" s="406"/>
      <c r="G75" s="407"/>
      <c r="H75" s="407" t="s">
        <v>124</v>
      </c>
      <c r="I75" s="407"/>
      <c r="J75" s="407"/>
      <c r="K75" s="407" t="s">
        <v>124</v>
      </c>
      <c r="L75" s="407"/>
      <c r="M75" s="407"/>
      <c r="N75" s="407"/>
      <c r="O75" s="407"/>
      <c r="P75" s="360" t="s">
        <v>1046</v>
      </c>
      <c r="Q75" s="361" t="s">
        <v>1340</v>
      </c>
      <c r="R75" s="407"/>
      <c r="S75" s="407"/>
      <c r="T75" s="407"/>
      <c r="U75" s="407"/>
    </row>
    <row r="76" spans="1:21" ht="28" x14ac:dyDescent="0.35">
      <c r="A76" s="408"/>
      <c r="B76" s="376" t="s">
        <v>447</v>
      </c>
      <c r="C76" s="393" t="s">
        <v>360</v>
      </c>
      <c r="D76" s="401" t="s">
        <v>448</v>
      </c>
      <c r="E76" s="406">
        <f t="shared" si="1"/>
        <v>75</v>
      </c>
      <c r="F76" s="406"/>
      <c r="G76" s="407"/>
      <c r="H76" s="407" t="s">
        <v>124</v>
      </c>
      <c r="I76" s="407"/>
      <c r="J76" s="407"/>
      <c r="K76" s="407" t="s">
        <v>124</v>
      </c>
      <c r="L76" s="407"/>
      <c r="M76" s="407"/>
      <c r="N76" s="407"/>
      <c r="O76" s="407"/>
      <c r="P76" s="360" t="s">
        <v>1047</v>
      </c>
      <c r="Q76" s="361" t="s">
        <v>1341</v>
      </c>
      <c r="R76" s="407"/>
      <c r="S76" s="407"/>
      <c r="T76" s="407"/>
      <c r="U76" s="407"/>
    </row>
    <row r="77" spans="1:21" ht="28" x14ac:dyDescent="0.35">
      <c r="A77" s="408"/>
      <c r="B77" s="376" t="s">
        <v>449</v>
      </c>
      <c r="C77" s="393" t="s">
        <v>360</v>
      </c>
      <c r="D77" s="401" t="s">
        <v>450</v>
      </c>
      <c r="E77" s="406">
        <f t="shared" si="1"/>
        <v>76</v>
      </c>
      <c r="F77" s="406"/>
      <c r="G77" s="407"/>
      <c r="H77" s="407" t="s">
        <v>124</v>
      </c>
      <c r="I77" s="407"/>
      <c r="J77" s="407"/>
      <c r="K77" s="407" t="s">
        <v>124</v>
      </c>
      <c r="L77" s="407"/>
      <c r="M77" s="407"/>
      <c r="N77" s="407"/>
      <c r="O77" s="407"/>
      <c r="P77" s="360" t="s">
        <v>1048</v>
      </c>
      <c r="Q77" s="361" t="s">
        <v>1342</v>
      </c>
      <c r="R77" s="407"/>
      <c r="S77" s="407"/>
      <c r="T77" s="407"/>
      <c r="U77" s="407"/>
    </row>
    <row r="78" spans="1:21" x14ac:dyDescent="0.35">
      <c r="A78" s="408"/>
      <c r="B78" s="376" t="s">
        <v>451</v>
      </c>
      <c r="C78" s="393" t="s">
        <v>360</v>
      </c>
      <c r="D78" s="401" t="s">
        <v>452</v>
      </c>
      <c r="E78" s="406">
        <f t="shared" si="1"/>
        <v>77</v>
      </c>
      <c r="F78" s="406"/>
      <c r="G78" s="407"/>
      <c r="H78" s="407" t="s">
        <v>124</v>
      </c>
      <c r="I78" s="407"/>
      <c r="J78" s="407"/>
      <c r="K78" s="407" t="s">
        <v>124</v>
      </c>
      <c r="L78" s="407"/>
      <c r="M78" s="407"/>
      <c r="N78" s="407"/>
      <c r="O78" s="407"/>
      <c r="P78" s="360" t="s">
        <v>1049</v>
      </c>
      <c r="Q78" s="361" t="s">
        <v>1343</v>
      </c>
      <c r="R78" s="407"/>
      <c r="S78" s="407"/>
      <c r="T78" s="407"/>
      <c r="U78" s="407"/>
    </row>
    <row r="79" spans="1:21" ht="28" x14ac:dyDescent="0.35">
      <c r="A79" s="408"/>
      <c r="B79" s="376" t="s">
        <v>453</v>
      </c>
      <c r="C79" s="393" t="s">
        <v>402</v>
      </c>
      <c r="D79" s="401" t="s">
        <v>1488</v>
      </c>
      <c r="E79" s="406">
        <f t="shared" si="1"/>
        <v>78</v>
      </c>
      <c r="F79" s="406"/>
      <c r="G79" s="407"/>
      <c r="H79" s="407" t="s">
        <v>124</v>
      </c>
      <c r="I79" s="407"/>
      <c r="J79" s="407"/>
      <c r="K79" s="407" t="s">
        <v>124</v>
      </c>
      <c r="L79" s="407"/>
      <c r="M79" s="407"/>
      <c r="N79" s="407"/>
      <c r="O79" s="407"/>
      <c r="P79" s="360" t="s">
        <v>1050</v>
      </c>
      <c r="Q79" s="361" t="s">
        <v>1344</v>
      </c>
      <c r="R79" s="407"/>
      <c r="S79" s="407"/>
      <c r="T79" s="407"/>
      <c r="U79" s="407"/>
    </row>
    <row r="80" spans="1:21" ht="28" x14ac:dyDescent="0.35">
      <c r="A80" s="408"/>
      <c r="B80" s="376" t="s">
        <v>454</v>
      </c>
      <c r="C80" s="393" t="s">
        <v>229</v>
      </c>
      <c r="D80" s="401" t="s">
        <v>455</v>
      </c>
      <c r="E80" s="406">
        <f t="shared" si="1"/>
        <v>79</v>
      </c>
      <c r="F80" s="406"/>
      <c r="G80" s="407"/>
      <c r="H80" s="407" t="s">
        <v>124</v>
      </c>
      <c r="I80" s="407"/>
      <c r="J80" s="407"/>
      <c r="K80" s="407" t="s">
        <v>124</v>
      </c>
      <c r="L80" s="407"/>
      <c r="M80" s="407"/>
      <c r="N80" s="407"/>
      <c r="O80" s="407"/>
      <c r="P80" s="360" t="s">
        <v>1051</v>
      </c>
      <c r="Q80" s="361" t="s">
        <v>1345</v>
      </c>
      <c r="R80" s="407"/>
      <c r="S80" s="407"/>
      <c r="T80" s="407"/>
      <c r="U80" s="407"/>
    </row>
    <row r="81" spans="1:21" ht="28" x14ac:dyDescent="0.35">
      <c r="A81" s="408"/>
      <c r="B81" s="376" t="s">
        <v>456</v>
      </c>
      <c r="C81" s="393" t="s">
        <v>229</v>
      </c>
      <c r="D81" s="401" t="s">
        <v>414</v>
      </c>
      <c r="E81" s="406">
        <f t="shared" si="1"/>
        <v>80</v>
      </c>
      <c r="F81" s="406"/>
      <c r="G81" s="407"/>
      <c r="H81" s="407" t="s">
        <v>124</v>
      </c>
      <c r="I81" s="407"/>
      <c r="J81" s="407"/>
      <c r="K81" s="407" t="s">
        <v>124</v>
      </c>
      <c r="L81" s="407"/>
      <c r="M81" s="407"/>
      <c r="N81" s="407"/>
      <c r="O81" s="407"/>
      <c r="P81" s="360" t="s">
        <v>1052</v>
      </c>
      <c r="Q81" s="361" t="s">
        <v>932</v>
      </c>
      <c r="R81" s="407"/>
      <c r="S81" s="407"/>
      <c r="T81" s="407"/>
      <c r="U81" s="407"/>
    </row>
    <row r="82" spans="1:21" x14ac:dyDescent="0.35">
      <c r="A82" s="408"/>
      <c r="B82" s="376" t="s">
        <v>1418</v>
      </c>
      <c r="C82" s="397" t="s">
        <v>229</v>
      </c>
      <c r="D82" s="401" t="s">
        <v>1488</v>
      </c>
      <c r="E82" s="406">
        <f t="shared" si="1"/>
        <v>81</v>
      </c>
      <c r="F82" s="406"/>
      <c r="G82" s="407"/>
      <c r="H82" s="407" t="s">
        <v>124</v>
      </c>
      <c r="I82" s="407"/>
      <c r="J82" s="407"/>
      <c r="K82" s="407" t="s">
        <v>124</v>
      </c>
      <c r="L82" s="407"/>
      <c r="M82" s="407"/>
      <c r="N82" s="407"/>
      <c r="O82" s="407"/>
      <c r="P82" s="360" t="s">
        <v>1053</v>
      </c>
      <c r="Q82" s="361" t="s">
        <v>1346</v>
      </c>
      <c r="R82" s="407"/>
      <c r="S82" s="407"/>
      <c r="T82" s="407"/>
      <c r="U82" s="407"/>
    </row>
    <row r="83" spans="1:21" x14ac:dyDescent="0.35">
      <c r="A83" s="408"/>
      <c r="B83" s="376" t="s">
        <v>457</v>
      </c>
      <c r="C83" s="393" t="s">
        <v>229</v>
      </c>
      <c r="D83" s="401" t="s">
        <v>1488</v>
      </c>
      <c r="E83" s="406">
        <f t="shared" si="1"/>
        <v>82</v>
      </c>
      <c r="F83" s="406"/>
      <c r="G83" s="407"/>
      <c r="H83" s="407" t="s">
        <v>124</v>
      </c>
      <c r="I83" s="407"/>
      <c r="J83" s="407"/>
      <c r="K83" s="407" t="s">
        <v>124</v>
      </c>
      <c r="L83" s="407"/>
      <c r="M83" s="407"/>
      <c r="N83" s="407"/>
      <c r="O83" s="407"/>
      <c r="P83" s="360" t="s">
        <v>1054</v>
      </c>
      <c r="Q83" s="361" t="s">
        <v>1347</v>
      </c>
      <c r="R83" s="407"/>
      <c r="S83" s="407"/>
      <c r="T83" s="407"/>
      <c r="U83" s="407"/>
    </row>
    <row r="84" spans="1:21" ht="28" x14ac:dyDescent="0.35">
      <c r="A84" s="408"/>
      <c r="B84" s="376" t="s">
        <v>1419</v>
      </c>
      <c r="C84" s="393" t="s">
        <v>402</v>
      </c>
      <c r="D84" s="401" t="s">
        <v>455</v>
      </c>
      <c r="E84" s="406">
        <f t="shared" si="1"/>
        <v>83</v>
      </c>
      <c r="F84" s="406"/>
      <c r="G84" s="407"/>
      <c r="H84" s="407" t="s">
        <v>124</v>
      </c>
      <c r="I84" s="407"/>
      <c r="J84" s="407"/>
      <c r="K84" s="407" t="s">
        <v>124</v>
      </c>
      <c r="L84" s="407"/>
      <c r="M84" s="407"/>
      <c r="N84" s="407"/>
      <c r="O84" s="407"/>
      <c r="P84" s="360" t="s">
        <v>1055</v>
      </c>
      <c r="Q84" s="361" t="s">
        <v>1348</v>
      </c>
      <c r="R84" s="407"/>
      <c r="S84" s="407"/>
      <c r="T84" s="407"/>
      <c r="U84" s="407"/>
    </row>
    <row r="85" spans="1:21" ht="28" x14ac:dyDescent="0.35">
      <c r="A85" s="408"/>
      <c r="B85" s="376" t="s">
        <v>458</v>
      </c>
      <c r="C85" s="393" t="s">
        <v>229</v>
      </c>
      <c r="D85" s="401" t="s">
        <v>414</v>
      </c>
      <c r="E85" s="406">
        <f t="shared" si="1"/>
        <v>84</v>
      </c>
      <c r="F85" s="406"/>
      <c r="G85" s="407"/>
      <c r="H85" s="407" t="s">
        <v>124</v>
      </c>
      <c r="I85" s="407"/>
      <c r="J85" s="407"/>
      <c r="K85" s="407" t="s">
        <v>124</v>
      </c>
      <c r="L85" s="407"/>
      <c r="M85" s="407"/>
      <c r="N85" s="407"/>
      <c r="O85" s="407"/>
      <c r="P85" s="360" t="s">
        <v>1056</v>
      </c>
      <c r="Q85" s="361" t="s">
        <v>963</v>
      </c>
      <c r="R85" s="407"/>
      <c r="S85" s="407"/>
      <c r="T85" s="407"/>
      <c r="U85" s="407"/>
    </row>
    <row r="86" spans="1:21" x14ac:dyDescent="0.35">
      <c r="A86" s="408"/>
      <c r="B86" s="376" t="s">
        <v>1420</v>
      </c>
      <c r="C86" s="393" t="s">
        <v>229</v>
      </c>
      <c r="D86" s="401" t="s">
        <v>1488</v>
      </c>
      <c r="E86" s="406">
        <f t="shared" si="1"/>
        <v>85</v>
      </c>
      <c r="F86" s="406"/>
      <c r="G86" s="407"/>
      <c r="H86" s="407" t="s">
        <v>124</v>
      </c>
      <c r="I86" s="407"/>
      <c r="J86" s="407"/>
      <c r="K86" s="407" t="s">
        <v>124</v>
      </c>
      <c r="L86" s="407"/>
      <c r="M86" s="407"/>
      <c r="N86" s="407"/>
      <c r="O86" s="407"/>
      <c r="P86" s="360" t="s">
        <v>1349</v>
      </c>
      <c r="Q86" s="361" t="s">
        <v>932</v>
      </c>
      <c r="R86" s="407"/>
      <c r="S86" s="407"/>
      <c r="T86" s="407"/>
      <c r="U86" s="407"/>
    </row>
    <row r="87" spans="1:21" ht="28" x14ac:dyDescent="0.35">
      <c r="A87" s="408"/>
      <c r="B87" s="376" t="s">
        <v>459</v>
      </c>
      <c r="C87" s="393" t="s">
        <v>402</v>
      </c>
      <c r="D87" s="401" t="s">
        <v>460</v>
      </c>
      <c r="E87" s="406">
        <f t="shared" si="1"/>
        <v>86</v>
      </c>
      <c r="F87" s="406"/>
      <c r="G87" s="407"/>
      <c r="H87" s="407" t="s">
        <v>124</v>
      </c>
      <c r="I87" s="407"/>
      <c r="J87" s="407"/>
      <c r="K87" s="407" t="s">
        <v>124</v>
      </c>
      <c r="L87" s="407"/>
      <c r="M87" s="407"/>
      <c r="N87" s="407"/>
      <c r="O87" s="407"/>
      <c r="P87" s="360" t="s">
        <v>1057</v>
      </c>
      <c r="Q87" s="361" t="s">
        <v>1350</v>
      </c>
      <c r="R87" s="407"/>
      <c r="S87" s="407"/>
      <c r="T87" s="407"/>
      <c r="U87" s="407"/>
    </row>
    <row r="88" spans="1:21" ht="28" x14ac:dyDescent="0.35">
      <c r="A88" s="408"/>
      <c r="B88" s="376" t="s">
        <v>1421</v>
      </c>
      <c r="C88" s="393" t="s">
        <v>229</v>
      </c>
      <c r="D88" s="401" t="s">
        <v>460</v>
      </c>
      <c r="E88" s="406">
        <f t="shared" si="1"/>
        <v>87</v>
      </c>
      <c r="F88" s="406"/>
      <c r="G88" s="407"/>
      <c r="H88" s="407" t="s">
        <v>124</v>
      </c>
      <c r="I88" s="407"/>
      <c r="J88" s="407"/>
      <c r="K88" s="407" t="s">
        <v>124</v>
      </c>
      <c r="L88" s="407"/>
      <c r="M88" s="407"/>
      <c r="N88" s="407"/>
      <c r="O88" s="407"/>
      <c r="P88" s="360" t="s">
        <v>1058</v>
      </c>
      <c r="Q88" s="361" t="s">
        <v>1351</v>
      </c>
      <c r="R88" s="407"/>
      <c r="S88" s="407"/>
      <c r="T88" s="407"/>
      <c r="U88" s="407"/>
    </row>
    <row r="89" spans="1:21" x14ac:dyDescent="0.35">
      <c r="A89" s="408"/>
      <c r="B89" s="376" t="s">
        <v>461</v>
      </c>
      <c r="C89" s="393" t="s">
        <v>402</v>
      </c>
      <c r="D89" s="401" t="s">
        <v>1488</v>
      </c>
      <c r="E89" s="406">
        <f t="shared" si="1"/>
        <v>88</v>
      </c>
      <c r="F89" s="406"/>
      <c r="G89" s="407"/>
      <c r="H89" s="407" t="s">
        <v>124</v>
      </c>
      <c r="I89" s="407"/>
      <c r="J89" s="407"/>
      <c r="K89" s="407" t="s">
        <v>124</v>
      </c>
      <c r="L89" s="407"/>
      <c r="M89" s="407"/>
      <c r="N89" s="407"/>
      <c r="O89" s="407"/>
      <c r="P89" s="360" t="s">
        <v>1059</v>
      </c>
      <c r="Q89" s="361" t="s">
        <v>1352</v>
      </c>
      <c r="R89" s="407"/>
      <c r="S89" s="407"/>
      <c r="T89" s="407"/>
      <c r="U89" s="407"/>
    </row>
    <row r="90" spans="1:21" ht="28" x14ac:dyDescent="0.35">
      <c r="A90" s="408"/>
      <c r="B90" s="376" t="s">
        <v>462</v>
      </c>
      <c r="C90" s="393" t="s">
        <v>229</v>
      </c>
      <c r="D90" s="401" t="s">
        <v>414</v>
      </c>
      <c r="E90" s="406">
        <f t="shared" si="1"/>
        <v>89</v>
      </c>
      <c r="F90" s="406"/>
      <c r="G90" s="407"/>
      <c r="H90" s="407" t="s">
        <v>124</v>
      </c>
      <c r="I90" s="407"/>
      <c r="J90" s="407"/>
      <c r="K90" s="407" t="s">
        <v>124</v>
      </c>
      <c r="L90" s="407"/>
      <c r="M90" s="407"/>
      <c r="N90" s="407"/>
      <c r="O90" s="407"/>
      <c r="P90" s="360" t="s">
        <v>1060</v>
      </c>
      <c r="Q90" s="361" t="s">
        <v>1353</v>
      </c>
      <c r="R90" s="407"/>
      <c r="S90" s="407"/>
      <c r="T90" s="407"/>
      <c r="U90" s="407"/>
    </row>
    <row r="91" spans="1:21" x14ac:dyDescent="0.35">
      <c r="A91" s="408"/>
      <c r="B91" s="376" t="s">
        <v>1422</v>
      </c>
      <c r="C91" s="393" t="s">
        <v>229</v>
      </c>
      <c r="D91" s="401" t="s">
        <v>1488</v>
      </c>
      <c r="E91" s="406">
        <f t="shared" si="1"/>
        <v>90</v>
      </c>
      <c r="F91" s="406"/>
      <c r="G91" s="407"/>
      <c r="H91" s="407" t="s">
        <v>124</v>
      </c>
      <c r="I91" s="407"/>
      <c r="J91" s="407"/>
      <c r="K91" s="407" t="s">
        <v>124</v>
      </c>
      <c r="L91" s="407"/>
      <c r="M91" s="407"/>
      <c r="N91" s="407"/>
      <c r="O91" s="407"/>
      <c r="P91" s="360" t="s">
        <v>1354</v>
      </c>
      <c r="Q91" s="361" t="s">
        <v>1355</v>
      </c>
      <c r="R91" s="407"/>
      <c r="S91" s="407"/>
      <c r="T91" s="407"/>
      <c r="U91" s="407"/>
    </row>
    <row r="92" spans="1:21" ht="28" x14ac:dyDescent="0.35">
      <c r="A92" s="408"/>
      <c r="B92" s="376" t="s">
        <v>463</v>
      </c>
      <c r="C92" s="393" t="s">
        <v>402</v>
      </c>
      <c r="D92" s="401" t="s">
        <v>460</v>
      </c>
      <c r="E92" s="406">
        <f t="shared" si="1"/>
        <v>91</v>
      </c>
      <c r="F92" s="406"/>
      <c r="G92" s="407"/>
      <c r="H92" s="407" t="s">
        <v>124</v>
      </c>
      <c r="I92" s="407"/>
      <c r="J92" s="407"/>
      <c r="K92" s="407" t="s">
        <v>124</v>
      </c>
      <c r="L92" s="407"/>
      <c r="M92" s="407"/>
      <c r="N92" s="407"/>
      <c r="O92" s="407"/>
      <c r="P92" s="360" t="s">
        <v>1356</v>
      </c>
      <c r="Q92" s="361" t="s">
        <v>1357</v>
      </c>
      <c r="R92" s="407"/>
      <c r="S92" s="407"/>
      <c r="T92" s="407"/>
      <c r="U92" s="407"/>
    </row>
    <row r="93" spans="1:21" x14ac:dyDescent="0.35">
      <c r="A93" s="408"/>
      <c r="B93" s="376" t="s">
        <v>464</v>
      </c>
      <c r="C93" s="393" t="s">
        <v>402</v>
      </c>
      <c r="D93" s="401" t="s">
        <v>1488</v>
      </c>
      <c r="E93" s="406">
        <f t="shared" si="1"/>
        <v>92</v>
      </c>
      <c r="F93" s="406"/>
      <c r="G93" s="407"/>
      <c r="H93" s="407" t="s">
        <v>124</v>
      </c>
      <c r="I93" s="407"/>
      <c r="J93" s="407"/>
      <c r="K93" s="407" t="s">
        <v>124</v>
      </c>
      <c r="L93" s="407"/>
      <c r="M93" s="407"/>
      <c r="N93" s="407"/>
      <c r="O93" s="407"/>
      <c r="P93" s="360" t="s">
        <v>1358</v>
      </c>
      <c r="Q93" s="361" t="s">
        <v>1359</v>
      </c>
      <c r="R93" s="407"/>
      <c r="S93" s="407"/>
      <c r="T93" s="407"/>
      <c r="U93" s="407"/>
    </row>
    <row r="94" spans="1:21" ht="28" x14ac:dyDescent="0.35">
      <c r="A94" s="408"/>
      <c r="B94" s="376" t="s">
        <v>1423</v>
      </c>
      <c r="C94" s="393" t="s">
        <v>229</v>
      </c>
      <c r="D94" s="401" t="s">
        <v>460</v>
      </c>
      <c r="E94" s="406">
        <f t="shared" si="1"/>
        <v>93</v>
      </c>
      <c r="F94" s="406"/>
      <c r="G94" s="407"/>
      <c r="H94" s="407" t="s">
        <v>124</v>
      </c>
      <c r="I94" s="407"/>
      <c r="J94" s="407"/>
      <c r="K94" s="407" t="s">
        <v>124</v>
      </c>
      <c r="L94" s="407"/>
      <c r="M94" s="407"/>
      <c r="N94" s="407"/>
      <c r="O94" s="407"/>
      <c r="P94" s="360" t="s">
        <v>1061</v>
      </c>
      <c r="Q94" s="361" t="s">
        <v>932</v>
      </c>
      <c r="R94" s="407"/>
      <c r="S94" s="407"/>
      <c r="T94" s="407"/>
      <c r="U94" s="407"/>
    </row>
    <row r="95" spans="1:21" x14ac:dyDescent="0.35">
      <c r="A95" s="408"/>
      <c r="B95" s="376" t="s">
        <v>1424</v>
      </c>
      <c r="C95" s="393" t="s">
        <v>229</v>
      </c>
      <c r="D95" s="401" t="s">
        <v>1488</v>
      </c>
      <c r="E95" s="406">
        <f t="shared" si="1"/>
        <v>94</v>
      </c>
      <c r="F95" s="406"/>
      <c r="G95" s="407"/>
      <c r="H95" s="407" t="s">
        <v>124</v>
      </c>
      <c r="I95" s="407"/>
      <c r="J95" s="407"/>
      <c r="K95" s="407" t="s">
        <v>124</v>
      </c>
      <c r="L95" s="407"/>
      <c r="M95" s="407"/>
      <c r="N95" s="407"/>
      <c r="O95" s="407"/>
      <c r="P95" s="360" t="s">
        <v>1062</v>
      </c>
      <c r="Q95" s="361" t="s">
        <v>950</v>
      </c>
      <c r="R95" s="407"/>
      <c r="S95" s="407"/>
      <c r="T95" s="407"/>
      <c r="U95" s="407"/>
    </row>
    <row r="96" spans="1:21" ht="28" x14ac:dyDescent="0.35">
      <c r="A96" s="408"/>
      <c r="B96" s="376" t="s">
        <v>465</v>
      </c>
      <c r="C96" s="393" t="s">
        <v>402</v>
      </c>
      <c r="D96" s="401" t="s">
        <v>460</v>
      </c>
      <c r="E96" s="406">
        <f t="shared" si="1"/>
        <v>95</v>
      </c>
      <c r="F96" s="406"/>
      <c r="G96" s="407"/>
      <c r="H96" s="407" t="s">
        <v>124</v>
      </c>
      <c r="I96" s="407"/>
      <c r="J96" s="407"/>
      <c r="K96" s="407" t="s">
        <v>124</v>
      </c>
      <c r="L96" s="407"/>
      <c r="M96" s="407"/>
      <c r="N96" s="407"/>
      <c r="O96" s="407"/>
      <c r="P96" s="360" t="s">
        <v>1063</v>
      </c>
      <c r="Q96" s="361" t="s">
        <v>951</v>
      </c>
      <c r="R96" s="407"/>
      <c r="S96" s="407"/>
      <c r="T96" s="407"/>
      <c r="U96" s="407"/>
    </row>
    <row r="97" spans="1:21" x14ac:dyDescent="0.35">
      <c r="A97" s="408"/>
      <c r="B97" s="376" t="s">
        <v>466</v>
      </c>
      <c r="C97" s="393" t="s">
        <v>402</v>
      </c>
      <c r="D97" s="401" t="s">
        <v>1488</v>
      </c>
      <c r="E97" s="406">
        <f t="shared" si="1"/>
        <v>96</v>
      </c>
      <c r="F97" s="406"/>
      <c r="G97" s="407"/>
      <c r="H97" s="407" t="s">
        <v>124</v>
      </c>
      <c r="I97" s="407"/>
      <c r="J97" s="407"/>
      <c r="K97" s="407" t="s">
        <v>124</v>
      </c>
      <c r="L97" s="407"/>
      <c r="M97" s="407"/>
      <c r="N97" s="407"/>
      <c r="O97" s="407"/>
      <c r="P97" s="360" t="s">
        <v>1064</v>
      </c>
      <c r="Q97" s="361" t="s">
        <v>1360</v>
      </c>
      <c r="R97" s="407"/>
      <c r="S97" s="407"/>
      <c r="T97" s="407"/>
      <c r="U97" s="407"/>
    </row>
    <row r="98" spans="1:21" ht="28" x14ac:dyDescent="0.35">
      <c r="A98" s="408"/>
      <c r="B98" s="378" t="s">
        <v>1425</v>
      </c>
      <c r="C98" s="394" t="s">
        <v>229</v>
      </c>
      <c r="D98" s="402" t="s">
        <v>460</v>
      </c>
      <c r="E98" s="406">
        <f t="shared" si="1"/>
        <v>97</v>
      </c>
      <c r="F98" s="406"/>
      <c r="G98" s="407"/>
      <c r="H98" s="407" t="s">
        <v>124</v>
      </c>
      <c r="I98" s="407"/>
      <c r="J98" s="407"/>
      <c r="K98" s="407" t="s">
        <v>124</v>
      </c>
      <c r="L98" s="407"/>
      <c r="M98" s="407"/>
      <c r="N98" s="407"/>
      <c r="O98" s="407"/>
      <c r="P98" s="360" t="s">
        <v>1065</v>
      </c>
      <c r="Q98" s="361" t="s">
        <v>952</v>
      </c>
      <c r="R98" s="407"/>
      <c r="S98" s="407"/>
      <c r="T98" s="407"/>
      <c r="U98" s="407"/>
    </row>
    <row r="99" spans="1:21" x14ac:dyDescent="0.35">
      <c r="A99" s="408"/>
      <c r="B99" s="376" t="s">
        <v>1426</v>
      </c>
      <c r="C99" s="393" t="s">
        <v>229</v>
      </c>
      <c r="D99" s="401" t="s">
        <v>1488</v>
      </c>
      <c r="E99" s="406">
        <f t="shared" si="1"/>
        <v>98</v>
      </c>
      <c r="F99" s="406"/>
      <c r="G99" s="407"/>
      <c r="H99" s="407" t="s">
        <v>124</v>
      </c>
      <c r="I99" s="407"/>
      <c r="J99" s="407"/>
      <c r="K99" s="407" t="s">
        <v>124</v>
      </c>
      <c r="L99" s="407"/>
      <c r="M99" s="407"/>
      <c r="N99" s="407"/>
      <c r="O99" s="407"/>
      <c r="P99" s="360" t="s">
        <v>1066</v>
      </c>
      <c r="Q99" s="361" t="s">
        <v>953</v>
      </c>
      <c r="R99" s="407"/>
      <c r="S99" s="407"/>
      <c r="T99" s="407"/>
      <c r="U99" s="407"/>
    </row>
    <row r="100" spans="1:21" ht="28" x14ac:dyDescent="0.35">
      <c r="A100" s="408"/>
      <c r="B100" s="376" t="s">
        <v>467</v>
      </c>
      <c r="C100" s="393" t="s">
        <v>360</v>
      </c>
      <c r="D100" s="401" t="s">
        <v>468</v>
      </c>
      <c r="E100" s="406">
        <f t="shared" si="1"/>
        <v>99</v>
      </c>
      <c r="F100" s="406"/>
      <c r="G100" s="407"/>
      <c r="H100" s="407" t="s">
        <v>124</v>
      </c>
      <c r="I100" s="407"/>
      <c r="J100" s="407"/>
      <c r="K100" s="407" t="s">
        <v>124</v>
      </c>
      <c r="L100" s="407"/>
      <c r="M100" s="407"/>
      <c r="N100" s="407"/>
      <c r="O100" s="407"/>
      <c r="P100" s="360" t="s">
        <v>1067</v>
      </c>
      <c r="Q100" s="361" t="s">
        <v>1361</v>
      </c>
      <c r="R100" s="407"/>
      <c r="S100" s="407"/>
      <c r="T100" s="407"/>
      <c r="U100" s="407"/>
    </row>
    <row r="101" spans="1:21" ht="28" x14ac:dyDescent="0.35">
      <c r="A101" s="408"/>
      <c r="B101" s="376" t="s">
        <v>471</v>
      </c>
      <c r="C101" s="393" t="s">
        <v>402</v>
      </c>
      <c r="D101" s="401" t="s">
        <v>472</v>
      </c>
      <c r="E101" s="406">
        <f t="shared" si="1"/>
        <v>100</v>
      </c>
      <c r="F101" s="406"/>
      <c r="G101" s="407"/>
      <c r="H101" s="407" t="s">
        <v>124</v>
      </c>
      <c r="I101" s="407"/>
      <c r="J101" s="407"/>
      <c r="K101" s="407" t="s">
        <v>124</v>
      </c>
      <c r="L101" s="407"/>
      <c r="M101" s="407"/>
      <c r="N101" s="407"/>
      <c r="O101" s="407"/>
      <c r="P101" s="360" t="s">
        <v>1068</v>
      </c>
      <c r="Q101" s="361" t="s">
        <v>980</v>
      </c>
      <c r="R101" s="407"/>
      <c r="S101" s="407"/>
      <c r="T101" s="407"/>
      <c r="U101" s="407"/>
    </row>
    <row r="102" spans="1:21" ht="28" x14ac:dyDescent="0.35">
      <c r="A102" s="408"/>
      <c r="B102" s="376" t="s">
        <v>469</v>
      </c>
      <c r="C102" s="393" t="s">
        <v>360</v>
      </c>
      <c r="D102" s="401" t="s">
        <v>470</v>
      </c>
      <c r="E102" s="406">
        <f t="shared" si="1"/>
        <v>101</v>
      </c>
      <c r="F102" s="406"/>
      <c r="G102" s="407"/>
      <c r="H102" s="407" t="s">
        <v>124</v>
      </c>
      <c r="I102" s="407"/>
      <c r="J102" s="407"/>
      <c r="K102" s="407" t="s">
        <v>124</v>
      </c>
      <c r="L102" s="407"/>
      <c r="M102" s="407"/>
      <c r="N102" s="407"/>
      <c r="O102" s="407"/>
      <c r="P102" s="360" t="s">
        <v>1170</v>
      </c>
      <c r="Q102" s="361" t="s">
        <v>1177</v>
      </c>
      <c r="R102" s="407"/>
      <c r="S102" s="407"/>
      <c r="T102" s="407"/>
      <c r="U102" s="407"/>
    </row>
    <row r="103" spans="1:21" ht="28" x14ac:dyDescent="0.35">
      <c r="A103" s="408"/>
      <c r="B103" s="376" t="s">
        <v>473</v>
      </c>
      <c r="C103" s="393" t="s">
        <v>402</v>
      </c>
      <c r="D103" s="401" t="s">
        <v>470</v>
      </c>
      <c r="E103" s="406">
        <f t="shared" si="1"/>
        <v>102</v>
      </c>
      <c r="F103" s="406"/>
      <c r="G103" s="407"/>
      <c r="H103" s="407" t="s">
        <v>124</v>
      </c>
      <c r="I103" s="407"/>
      <c r="J103" s="407"/>
      <c r="K103" s="407" t="s">
        <v>124</v>
      </c>
      <c r="L103" s="407"/>
      <c r="M103" s="407"/>
      <c r="N103" s="407"/>
      <c r="O103" s="407"/>
      <c r="P103" s="360" t="s">
        <v>1138</v>
      </c>
      <c r="Q103" s="361" t="s">
        <v>932</v>
      </c>
      <c r="R103" s="407"/>
      <c r="S103" s="407"/>
      <c r="T103" s="407"/>
      <c r="U103" s="407"/>
    </row>
    <row r="104" spans="1:21" x14ac:dyDescent="0.35">
      <c r="A104" s="408"/>
      <c r="B104" s="376" t="s">
        <v>474</v>
      </c>
      <c r="C104" s="393" t="s">
        <v>360</v>
      </c>
      <c r="D104" s="401" t="s">
        <v>475</v>
      </c>
      <c r="E104" s="406">
        <f t="shared" si="1"/>
        <v>103</v>
      </c>
      <c r="F104" s="406"/>
      <c r="G104" s="407"/>
      <c r="H104" s="407" t="s">
        <v>124</v>
      </c>
      <c r="I104" s="407"/>
      <c r="J104" s="407"/>
      <c r="K104" s="407" t="s">
        <v>124</v>
      </c>
      <c r="L104" s="407"/>
      <c r="M104" s="407"/>
      <c r="N104" s="407"/>
      <c r="O104" s="407"/>
      <c r="P104" s="360" t="s">
        <v>1069</v>
      </c>
      <c r="Q104" s="361" t="s">
        <v>954</v>
      </c>
      <c r="R104" s="407"/>
      <c r="S104" s="407"/>
      <c r="T104" s="407"/>
      <c r="U104" s="407"/>
    </row>
    <row r="105" spans="1:21" x14ac:dyDescent="0.35">
      <c r="A105" s="408"/>
      <c r="B105" s="376" t="s">
        <v>476</v>
      </c>
      <c r="C105" s="393" t="s">
        <v>360</v>
      </c>
      <c r="D105" s="401" t="s">
        <v>477</v>
      </c>
      <c r="E105" s="406">
        <f t="shared" si="1"/>
        <v>104</v>
      </c>
      <c r="F105" s="406"/>
      <c r="G105" s="407"/>
      <c r="H105" s="407" t="s">
        <v>124</v>
      </c>
      <c r="I105" s="407"/>
      <c r="J105" s="407"/>
      <c r="K105" s="407" t="s">
        <v>124</v>
      </c>
      <c r="L105" s="407"/>
      <c r="M105" s="407"/>
      <c r="N105" s="407"/>
      <c r="O105" s="407"/>
      <c r="P105" s="360" t="s">
        <v>1070</v>
      </c>
      <c r="Q105" s="361" t="s">
        <v>955</v>
      </c>
      <c r="R105" s="407"/>
      <c r="S105" s="407"/>
      <c r="T105" s="407"/>
      <c r="U105" s="407"/>
    </row>
    <row r="106" spans="1:21" ht="28" x14ac:dyDescent="0.35">
      <c r="A106" s="408"/>
      <c r="B106" s="376" t="s">
        <v>478</v>
      </c>
      <c r="C106" s="393" t="s">
        <v>360</v>
      </c>
      <c r="D106" s="401" t="s">
        <v>479</v>
      </c>
      <c r="E106" s="406">
        <f t="shared" si="1"/>
        <v>105</v>
      </c>
      <c r="F106" s="406"/>
      <c r="G106" s="407"/>
      <c r="H106" s="407" t="s">
        <v>124</v>
      </c>
      <c r="I106" s="407"/>
      <c r="J106" s="407"/>
      <c r="K106" s="407" t="s">
        <v>124</v>
      </c>
      <c r="L106" s="407"/>
      <c r="M106" s="407"/>
      <c r="N106" s="407"/>
      <c r="O106" s="407"/>
      <c r="P106" s="360" t="s">
        <v>1071</v>
      </c>
      <c r="Q106" s="361" t="s">
        <v>956</v>
      </c>
      <c r="R106" s="407"/>
      <c r="S106" s="407"/>
      <c r="T106" s="407"/>
      <c r="U106" s="407"/>
    </row>
    <row r="107" spans="1:21" x14ac:dyDescent="0.35">
      <c r="A107" s="408"/>
      <c r="B107" s="376" t="s">
        <v>480</v>
      </c>
      <c r="C107" s="393" t="s">
        <v>360</v>
      </c>
      <c r="D107" s="401" t="s">
        <v>481</v>
      </c>
      <c r="E107" s="406">
        <f t="shared" si="1"/>
        <v>106</v>
      </c>
      <c r="F107" s="406"/>
      <c r="G107" s="407"/>
      <c r="H107" s="407" t="s">
        <v>124</v>
      </c>
      <c r="I107" s="407"/>
      <c r="J107" s="407"/>
      <c r="K107" s="407" t="s">
        <v>124</v>
      </c>
      <c r="L107" s="407"/>
      <c r="M107" s="407"/>
      <c r="N107" s="407"/>
      <c r="O107" s="407"/>
      <c r="P107" s="360" t="s">
        <v>1072</v>
      </c>
      <c r="Q107" s="361" t="s">
        <v>957</v>
      </c>
      <c r="R107" s="407"/>
      <c r="S107" s="407"/>
      <c r="T107" s="407"/>
      <c r="U107" s="407"/>
    </row>
    <row r="108" spans="1:21" ht="28" x14ac:dyDescent="0.35">
      <c r="A108" s="408"/>
      <c r="B108" s="376" t="s">
        <v>1427</v>
      </c>
      <c r="C108" s="393" t="s">
        <v>402</v>
      </c>
      <c r="D108" s="401" t="s">
        <v>483</v>
      </c>
      <c r="E108" s="406">
        <f t="shared" si="1"/>
        <v>107</v>
      </c>
      <c r="F108" s="406"/>
      <c r="G108" s="407"/>
      <c r="H108" s="407" t="s">
        <v>124</v>
      </c>
      <c r="I108" s="407"/>
      <c r="J108" s="407"/>
      <c r="K108" s="407" t="s">
        <v>124</v>
      </c>
      <c r="L108" s="407"/>
      <c r="M108" s="407"/>
      <c r="N108" s="407"/>
      <c r="O108" s="407"/>
      <c r="P108" s="360" t="s">
        <v>1073</v>
      </c>
      <c r="Q108" s="361" t="s">
        <v>934</v>
      </c>
      <c r="R108" s="407"/>
      <c r="S108" s="407"/>
      <c r="T108" s="407"/>
      <c r="U108" s="407"/>
    </row>
    <row r="109" spans="1:21" ht="28" x14ac:dyDescent="0.35">
      <c r="A109" s="408"/>
      <c r="B109" s="376" t="s">
        <v>482</v>
      </c>
      <c r="C109" s="393" t="s">
        <v>402</v>
      </c>
      <c r="D109" s="401" t="s">
        <v>483</v>
      </c>
      <c r="E109" s="406">
        <f t="shared" si="1"/>
        <v>108</v>
      </c>
      <c r="F109" s="406"/>
      <c r="G109" s="407"/>
      <c r="H109" s="407" t="s">
        <v>124</v>
      </c>
      <c r="I109" s="407"/>
      <c r="J109" s="407"/>
      <c r="K109" s="407" t="s">
        <v>124</v>
      </c>
      <c r="L109" s="407"/>
      <c r="M109" s="407"/>
      <c r="N109" s="407"/>
      <c r="O109" s="407"/>
      <c r="P109" s="360" t="s">
        <v>1074</v>
      </c>
      <c r="Q109" s="361" t="s">
        <v>1362</v>
      </c>
      <c r="R109" s="407"/>
      <c r="S109" s="407"/>
      <c r="T109" s="407"/>
      <c r="U109" s="407"/>
    </row>
    <row r="110" spans="1:21" x14ac:dyDescent="0.35">
      <c r="A110" s="408"/>
      <c r="B110" s="376" t="s">
        <v>486</v>
      </c>
      <c r="C110" s="393" t="s">
        <v>360</v>
      </c>
      <c r="D110" s="401" t="s">
        <v>487</v>
      </c>
      <c r="E110" s="406">
        <f t="shared" si="1"/>
        <v>109</v>
      </c>
      <c r="F110" s="406"/>
      <c r="G110" s="407"/>
      <c r="H110" s="407" t="s">
        <v>124</v>
      </c>
      <c r="I110" s="407"/>
      <c r="J110" s="407"/>
      <c r="K110" s="407" t="s">
        <v>124</v>
      </c>
      <c r="L110" s="407"/>
      <c r="M110" s="407"/>
      <c r="N110" s="407"/>
      <c r="O110" s="407"/>
      <c r="P110" s="360" t="s">
        <v>1363</v>
      </c>
      <c r="Q110" s="361" t="s">
        <v>1310</v>
      </c>
      <c r="R110" s="407"/>
      <c r="S110" s="407"/>
      <c r="T110" s="407"/>
      <c r="U110" s="407"/>
    </row>
    <row r="111" spans="1:21" x14ac:dyDescent="0.35">
      <c r="A111" s="408"/>
      <c r="B111" s="376" t="s">
        <v>484</v>
      </c>
      <c r="C111" s="393" t="s">
        <v>360</v>
      </c>
      <c r="D111" s="401" t="s">
        <v>485</v>
      </c>
      <c r="E111" s="406">
        <f t="shared" si="1"/>
        <v>110</v>
      </c>
      <c r="F111" s="406"/>
      <c r="G111" s="407"/>
      <c r="H111" s="407" t="s">
        <v>124</v>
      </c>
      <c r="I111" s="407"/>
      <c r="J111" s="407"/>
      <c r="K111" s="407" t="s">
        <v>124</v>
      </c>
      <c r="L111" s="407"/>
      <c r="M111" s="407"/>
      <c r="N111" s="407"/>
      <c r="O111" s="407"/>
      <c r="P111" s="360" t="s">
        <v>1364</v>
      </c>
      <c r="Q111" s="361" t="s">
        <v>1365</v>
      </c>
      <c r="R111" s="407"/>
      <c r="S111" s="407"/>
      <c r="T111" s="407"/>
      <c r="U111" s="407"/>
    </row>
    <row r="112" spans="1:21" ht="28" x14ac:dyDescent="0.35">
      <c r="A112" s="408"/>
      <c r="B112" s="376" t="s">
        <v>488</v>
      </c>
      <c r="C112" s="393" t="s">
        <v>402</v>
      </c>
      <c r="D112" s="401" t="s">
        <v>1489</v>
      </c>
      <c r="E112" s="406">
        <f t="shared" si="1"/>
        <v>111</v>
      </c>
      <c r="F112" s="406"/>
      <c r="G112" s="407"/>
      <c r="H112" s="407" t="s">
        <v>124</v>
      </c>
      <c r="I112" s="407"/>
      <c r="J112" s="407"/>
      <c r="K112" s="407" t="s">
        <v>124</v>
      </c>
      <c r="L112" s="407"/>
      <c r="M112" s="407"/>
      <c r="N112" s="407"/>
      <c r="O112" s="407"/>
      <c r="P112" s="360" t="s">
        <v>1075</v>
      </c>
      <c r="Q112" s="361" t="s">
        <v>968</v>
      </c>
      <c r="R112" s="407"/>
      <c r="S112" s="407"/>
      <c r="T112" s="407"/>
      <c r="U112" s="407"/>
    </row>
    <row r="113" spans="1:21" ht="28" x14ac:dyDescent="0.35">
      <c r="A113" s="408"/>
      <c r="B113" s="376" t="s">
        <v>489</v>
      </c>
      <c r="C113" s="393" t="s">
        <v>400</v>
      </c>
      <c r="D113" s="401" t="s">
        <v>1490</v>
      </c>
      <c r="E113" s="406">
        <f t="shared" si="1"/>
        <v>112</v>
      </c>
      <c r="F113" s="406"/>
      <c r="G113" s="407"/>
      <c r="H113" s="407" t="s">
        <v>124</v>
      </c>
      <c r="I113" s="407"/>
      <c r="J113" s="407"/>
      <c r="K113" s="407" t="s">
        <v>124</v>
      </c>
      <c r="L113" s="407"/>
      <c r="M113" s="407"/>
      <c r="N113" s="407"/>
      <c r="O113" s="407"/>
      <c r="P113" s="360" t="s">
        <v>1076</v>
      </c>
      <c r="Q113" s="361" t="s">
        <v>969</v>
      </c>
      <c r="R113" s="407"/>
      <c r="S113" s="407"/>
      <c r="T113" s="407"/>
      <c r="U113" s="407"/>
    </row>
    <row r="114" spans="1:21" x14ac:dyDescent="0.35">
      <c r="A114" s="408"/>
      <c r="B114" s="376" t="s">
        <v>490</v>
      </c>
      <c r="C114" s="393" t="s">
        <v>400</v>
      </c>
      <c r="D114" s="401" t="s">
        <v>491</v>
      </c>
      <c r="E114" s="406">
        <f t="shared" si="1"/>
        <v>113</v>
      </c>
      <c r="F114" s="406"/>
      <c r="G114" s="407"/>
      <c r="H114" s="407" t="s">
        <v>124</v>
      </c>
      <c r="I114" s="407"/>
      <c r="J114" s="407"/>
      <c r="K114" s="407" t="s">
        <v>124</v>
      </c>
      <c r="L114" s="407"/>
      <c r="M114" s="407"/>
      <c r="N114" s="407"/>
      <c r="O114" s="407"/>
      <c r="P114" s="360" t="s">
        <v>1366</v>
      </c>
      <c r="Q114" s="361" t="s">
        <v>1367</v>
      </c>
      <c r="R114" s="407"/>
      <c r="S114" s="407"/>
      <c r="T114" s="407"/>
      <c r="U114" s="407"/>
    </row>
    <row r="115" spans="1:21" x14ac:dyDescent="0.35">
      <c r="A115" s="408"/>
      <c r="B115" s="376" t="s">
        <v>492</v>
      </c>
      <c r="C115" s="393" t="s">
        <v>400</v>
      </c>
      <c r="D115" s="401" t="s">
        <v>493</v>
      </c>
      <c r="E115" s="406">
        <f t="shared" si="1"/>
        <v>114</v>
      </c>
      <c r="F115" s="406"/>
      <c r="G115" s="407"/>
      <c r="H115" s="407" t="s">
        <v>124</v>
      </c>
      <c r="I115" s="407"/>
      <c r="J115" s="407"/>
      <c r="K115" s="407" t="s">
        <v>124</v>
      </c>
      <c r="L115" s="407"/>
      <c r="M115" s="407"/>
      <c r="N115" s="407"/>
      <c r="O115" s="407"/>
      <c r="P115" s="360" t="s">
        <v>1171</v>
      </c>
      <c r="Q115" s="361" t="s">
        <v>1178</v>
      </c>
      <c r="R115" s="407"/>
      <c r="S115" s="407"/>
      <c r="T115" s="407"/>
      <c r="U115" s="407"/>
    </row>
    <row r="116" spans="1:21" ht="28" x14ac:dyDescent="0.35">
      <c r="A116" s="408"/>
      <c r="B116" s="378" t="s">
        <v>494</v>
      </c>
      <c r="C116" s="394" t="s">
        <v>400</v>
      </c>
      <c r="D116" s="402" t="s">
        <v>495</v>
      </c>
      <c r="E116" s="406">
        <f t="shared" si="1"/>
        <v>115</v>
      </c>
      <c r="F116" s="406"/>
      <c r="G116" s="407"/>
      <c r="H116" s="407" t="s">
        <v>124</v>
      </c>
      <c r="I116" s="407"/>
      <c r="J116" s="407"/>
      <c r="K116" s="407" t="s">
        <v>124</v>
      </c>
      <c r="L116" s="407"/>
      <c r="M116" s="407"/>
      <c r="N116" s="407"/>
      <c r="O116" s="407"/>
      <c r="P116" s="360" t="s">
        <v>1368</v>
      </c>
      <c r="Q116" s="361" t="s">
        <v>1369</v>
      </c>
      <c r="R116" s="407"/>
      <c r="S116" s="407"/>
      <c r="T116" s="407"/>
      <c r="U116" s="407"/>
    </row>
    <row r="117" spans="1:21" x14ac:dyDescent="0.35">
      <c r="A117" s="408"/>
      <c r="B117" s="376" t="s">
        <v>496</v>
      </c>
      <c r="C117" s="393" t="s">
        <v>360</v>
      </c>
      <c r="D117" s="401" t="s">
        <v>1185</v>
      </c>
      <c r="E117" s="406">
        <f t="shared" si="1"/>
        <v>116</v>
      </c>
      <c r="F117" s="406"/>
      <c r="G117" s="407"/>
      <c r="H117" s="407" t="s">
        <v>124</v>
      </c>
      <c r="I117" s="407"/>
      <c r="J117" s="407"/>
      <c r="K117" s="407" t="s">
        <v>124</v>
      </c>
      <c r="L117" s="407"/>
      <c r="M117" s="407"/>
      <c r="N117" s="407"/>
      <c r="O117" s="407"/>
      <c r="P117" s="360" t="s">
        <v>1370</v>
      </c>
      <c r="Q117" s="361" t="s">
        <v>1371</v>
      </c>
      <c r="R117" s="407"/>
      <c r="S117" s="407"/>
      <c r="T117" s="407"/>
      <c r="U117" s="407"/>
    </row>
    <row r="118" spans="1:21" x14ac:dyDescent="0.35">
      <c r="A118" s="408"/>
      <c r="B118" s="376" t="s">
        <v>497</v>
      </c>
      <c r="C118" s="393" t="s">
        <v>360</v>
      </c>
      <c r="D118" s="401" t="s">
        <v>498</v>
      </c>
      <c r="E118" s="406">
        <f t="shared" si="1"/>
        <v>117</v>
      </c>
      <c r="F118" s="406"/>
      <c r="G118" s="407"/>
      <c r="H118" s="407" t="s">
        <v>124</v>
      </c>
      <c r="I118" s="407"/>
      <c r="J118" s="407"/>
      <c r="K118" s="407" t="s">
        <v>124</v>
      </c>
      <c r="L118" s="407"/>
      <c r="M118" s="407"/>
      <c r="N118" s="407"/>
      <c r="O118" s="407"/>
      <c r="P118" s="360" t="s">
        <v>1077</v>
      </c>
      <c r="Q118" s="361" t="s">
        <v>872</v>
      </c>
      <c r="R118" s="407"/>
      <c r="S118" s="407"/>
      <c r="T118" s="407"/>
      <c r="U118" s="407"/>
    </row>
    <row r="119" spans="1:21" ht="28" x14ac:dyDescent="0.35">
      <c r="A119" s="408"/>
      <c r="B119" s="376" t="s">
        <v>1428</v>
      </c>
      <c r="C119" s="397" t="s">
        <v>402</v>
      </c>
      <c r="D119" s="401" t="s">
        <v>1491</v>
      </c>
      <c r="E119" s="406">
        <f t="shared" si="1"/>
        <v>118</v>
      </c>
      <c r="F119" s="406"/>
      <c r="G119" s="407"/>
      <c r="H119" s="407" t="s">
        <v>124</v>
      </c>
      <c r="I119" s="407"/>
      <c r="J119" s="407"/>
      <c r="K119" s="407" t="s">
        <v>124</v>
      </c>
      <c r="L119" s="407"/>
      <c r="M119" s="407"/>
      <c r="N119" s="407"/>
      <c r="O119" s="407"/>
      <c r="P119" s="360" t="s">
        <v>1078</v>
      </c>
      <c r="Q119" s="361" t="s">
        <v>874</v>
      </c>
      <c r="R119" s="407"/>
      <c r="S119" s="407"/>
      <c r="T119" s="407"/>
      <c r="U119" s="407"/>
    </row>
    <row r="120" spans="1:21" s="467" customFormat="1" x14ac:dyDescent="0.35">
      <c r="A120" s="408"/>
      <c r="B120" s="1073" t="s">
        <v>2019</v>
      </c>
      <c r="C120" s="1074" t="s">
        <v>360</v>
      </c>
      <c r="D120" s="1075" t="s">
        <v>510</v>
      </c>
      <c r="E120" s="406">
        <f t="shared" si="1"/>
        <v>119</v>
      </c>
      <c r="F120" s="406"/>
      <c r="G120" s="407"/>
      <c r="H120" s="407"/>
      <c r="I120" s="407"/>
      <c r="J120" s="407"/>
      <c r="K120" s="407"/>
      <c r="L120" s="407"/>
      <c r="M120" s="407"/>
      <c r="N120" s="407"/>
      <c r="O120" s="407"/>
      <c r="P120" s="360"/>
      <c r="Q120" s="361"/>
      <c r="R120" s="407"/>
      <c r="S120" s="407"/>
      <c r="T120" s="407"/>
      <c r="U120" s="407"/>
    </row>
    <row r="121" spans="1:21" ht="28" x14ac:dyDescent="0.35">
      <c r="A121" s="408"/>
      <c r="B121" s="376" t="s">
        <v>499</v>
      </c>
      <c r="C121" s="393" t="s">
        <v>402</v>
      </c>
      <c r="D121" s="401" t="s">
        <v>1492</v>
      </c>
      <c r="E121" s="406">
        <f t="shared" si="1"/>
        <v>120</v>
      </c>
      <c r="F121" s="406"/>
      <c r="G121" s="407"/>
      <c r="H121" s="407" t="s">
        <v>124</v>
      </c>
      <c r="I121" s="407"/>
      <c r="J121" s="407"/>
      <c r="K121" s="407" t="s">
        <v>124</v>
      </c>
      <c r="L121" s="407"/>
      <c r="M121" s="407"/>
      <c r="N121" s="407"/>
      <c r="O121" s="407"/>
      <c r="P121" s="360" t="s">
        <v>1372</v>
      </c>
      <c r="Q121" s="361" t="s">
        <v>1294</v>
      </c>
      <c r="R121" s="407"/>
      <c r="S121" s="407"/>
      <c r="T121" s="407"/>
      <c r="U121" s="407"/>
    </row>
    <row r="122" spans="1:21" ht="28" x14ac:dyDescent="0.35">
      <c r="A122" s="408"/>
      <c r="B122" s="376" t="s">
        <v>1429</v>
      </c>
      <c r="C122" s="393" t="s">
        <v>400</v>
      </c>
      <c r="D122" s="401" t="s">
        <v>1493</v>
      </c>
      <c r="E122" s="406">
        <f t="shared" si="1"/>
        <v>121</v>
      </c>
      <c r="F122" s="406"/>
      <c r="G122" s="407"/>
      <c r="H122" s="407" t="s">
        <v>124</v>
      </c>
      <c r="I122" s="407"/>
      <c r="J122" s="407"/>
      <c r="K122" s="407" t="s">
        <v>124</v>
      </c>
      <c r="L122" s="407"/>
      <c r="M122" s="407"/>
      <c r="N122" s="407"/>
      <c r="O122" s="407"/>
      <c r="P122" s="360" t="s">
        <v>1079</v>
      </c>
      <c r="Q122" s="361" t="s">
        <v>876</v>
      </c>
      <c r="R122" s="407"/>
      <c r="S122" s="407"/>
      <c r="T122" s="407"/>
      <c r="U122" s="407"/>
    </row>
    <row r="123" spans="1:21" x14ac:dyDescent="0.35">
      <c r="A123" s="408"/>
      <c r="B123" s="376" t="s">
        <v>500</v>
      </c>
      <c r="C123" s="393" t="s">
        <v>360</v>
      </c>
      <c r="D123" s="401" t="s">
        <v>501</v>
      </c>
      <c r="E123" s="406">
        <f t="shared" si="1"/>
        <v>122</v>
      </c>
      <c r="F123" s="406"/>
      <c r="G123" s="407"/>
      <c r="H123" s="407" t="s">
        <v>124</v>
      </c>
      <c r="I123" s="407"/>
      <c r="J123" s="407"/>
      <c r="K123" s="407" t="s">
        <v>124</v>
      </c>
      <c r="L123" s="407"/>
      <c r="M123" s="407"/>
      <c r="N123" s="407"/>
      <c r="O123" s="407"/>
      <c r="P123" s="360" t="s">
        <v>1080</v>
      </c>
      <c r="Q123" s="361" t="s">
        <v>878</v>
      </c>
      <c r="R123" s="407"/>
      <c r="S123" s="407"/>
      <c r="T123" s="407"/>
      <c r="U123" s="407"/>
    </row>
    <row r="124" spans="1:21" ht="28" x14ac:dyDescent="0.35">
      <c r="A124" s="408"/>
      <c r="B124" s="376" t="s">
        <v>502</v>
      </c>
      <c r="C124" s="393" t="s">
        <v>360</v>
      </c>
      <c r="D124" s="401" t="s">
        <v>1494</v>
      </c>
      <c r="E124" s="406">
        <f t="shared" si="1"/>
        <v>123</v>
      </c>
      <c r="F124" s="406"/>
      <c r="G124" s="407"/>
      <c r="H124" s="407" t="s">
        <v>124</v>
      </c>
      <c r="I124" s="407"/>
      <c r="J124" s="407"/>
      <c r="K124" s="407" t="s">
        <v>124</v>
      </c>
      <c r="L124" s="407"/>
      <c r="M124" s="407"/>
      <c r="N124" s="407"/>
      <c r="O124" s="407"/>
      <c r="P124" s="360" t="s">
        <v>1081</v>
      </c>
      <c r="Q124" s="361" t="s">
        <v>932</v>
      </c>
      <c r="R124" s="407"/>
      <c r="S124" s="407"/>
      <c r="T124" s="407"/>
      <c r="U124" s="407"/>
    </row>
    <row r="125" spans="1:21" x14ac:dyDescent="0.35">
      <c r="A125" s="408"/>
      <c r="B125" s="376" t="s">
        <v>503</v>
      </c>
      <c r="C125" s="393" t="s">
        <v>360</v>
      </c>
      <c r="D125" s="401" t="s">
        <v>504</v>
      </c>
      <c r="E125" s="406">
        <f t="shared" si="1"/>
        <v>124</v>
      </c>
      <c r="F125" s="406"/>
      <c r="G125" s="407"/>
      <c r="H125" s="407" t="s">
        <v>124</v>
      </c>
      <c r="I125" s="407"/>
      <c r="J125" s="407"/>
      <c r="K125" s="407" t="s">
        <v>124</v>
      </c>
      <c r="L125" s="407"/>
      <c r="M125" s="407"/>
      <c r="N125" s="407"/>
      <c r="O125" s="407"/>
      <c r="P125" s="360" t="s">
        <v>1373</v>
      </c>
      <c r="Q125" s="361" t="s">
        <v>1374</v>
      </c>
      <c r="R125" s="407"/>
      <c r="S125" s="407"/>
      <c r="T125" s="407"/>
      <c r="U125" s="407"/>
    </row>
    <row r="126" spans="1:21" ht="28" x14ac:dyDescent="0.35">
      <c r="A126" s="408"/>
      <c r="B126" s="376" t="s">
        <v>505</v>
      </c>
      <c r="C126" s="393" t="s">
        <v>402</v>
      </c>
      <c r="D126" s="401" t="s">
        <v>1186</v>
      </c>
      <c r="E126" s="406">
        <f t="shared" si="1"/>
        <v>125</v>
      </c>
      <c r="F126" s="406"/>
      <c r="G126" s="407"/>
      <c r="H126" s="407" t="s">
        <v>124</v>
      </c>
      <c r="I126" s="407"/>
      <c r="J126" s="407"/>
      <c r="K126" s="407" t="s">
        <v>124</v>
      </c>
      <c r="L126" s="407"/>
      <c r="M126" s="407"/>
      <c r="N126" s="407"/>
      <c r="O126" s="407"/>
      <c r="P126" s="360" t="s">
        <v>1375</v>
      </c>
      <c r="Q126" s="361" t="s">
        <v>1376</v>
      </c>
      <c r="R126" s="407"/>
      <c r="S126" s="407"/>
      <c r="T126" s="407"/>
      <c r="U126" s="407"/>
    </row>
    <row r="127" spans="1:21" x14ac:dyDescent="0.35">
      <c r="A127" s="408"/>
      <c r="B127" s="376" t="s">
        <v>1430</v>
      </c>
      <c r="C127" s="398" t="s">
        <v>360</v>
      </c>
      <c r="D127" s="401" t="s">
        <v>1495</v>
      </c>
      <c r="E127" s="406">
        <f t="shared" si="1"/>
        <v>126</v>
      </c>
      <c r="F127" s="406"/>
      <c r="G127" s="407"/>
      <c r="H127" s="407" t="s">
        <v>124</v>
      </c>
      <c r="I127" s="407"/>
      <c r="J127" s="407"/>
      <c r="K127" s="407" t="s">
        <v>124</v>
      </c>
      <c r="L127" s="407"/>
      <c r="M127" s="407"/>
      <c r="N127" s="407"/>
      <c r="O127" s="407"/>
      <c r="P127" s="360" t="s">
        <v>1377</v>
      </c>
      <c r="Q127" s="361" t="s">
        <v>1378</v>
      </c>
      <c r="R127" s="407"/>
      <c r="S127" s="407"/>
      <c r="T127" s="407"/>
      <c r="U127" s="407"/>
    </row>
    <row r="128" spans="1:21" ht="28" x14ac:dyDescent="0.35">
      <c r="A128" s="408"/>
      <c r="B128" s="376" t="s">
        <v>506</v>
      </c>
      <c r="C128" s="393" t="s">
        <v>402</v>
      </c>
      <c r="D128" s="401" t="s">
        <v>1496</v>
      </c>
      <c r="E128" s="406">
        <f t="shared" si="1"/>
        <v>127</v>
      </c>
      <c r="F128" s="406"/>
      <c r="G128" s="407"/>
      <c r="H128" s="407" t="s">
        <v>124</v>
      </c>
      <c r="I128" s="407"/>
      <c r="J128" s="407"/>
      <c r="K128" s="407" t="s">
        <v>124</v>
      </c>
      <c r="L128" s="407"/>
      <c r="M128" s="407"/>
      <c r="N128" s="407"/>
      <c r="O128" s="407"/>
      <c r="P128" s="360" t="s">
        <v>1379</v>
      </c>
      <c r="Q128" s="361" t="s">
        <v>1380</v>
      </c>
      <c r="R128" s="407"/>
      <c r="S128" s="407"/>
      <c r="T128" s="407"/>
      <c r="U128" s="407"/>
    </row>
    <row r="129" spans="1:21" ht="28" x14ac:dyDescent="0.35">
      <c r="A129" s="408"/>
      <c r="B129" s="376" t="s">
        <v>507</v>
      </c>
      <c r="C129" s="393" t="s">
        <v>360</v>
      </c>
      <c r="D129" s="401" t="s">
        <v>508</v>
      </c>
      <c r="E129" s="406">
        <f t="shared" si="1"/>
        <v>128</v>
      </c>
      <c r="F129" s="406"/>
      <c r="G129" s="407"/>
      <c r="H129" s="407" t="s">
        <v>124</v>
      </c>
      <c r="I129" s="407"/>
      <c r="J129" s="407"/>
      <c r="K129" s="407" t="s">
        <v>124</v>
      </c>
      <c r="L129" s="407"/>
      <c r="M129" s="407"/>
      <c r="N129" s="407"/>
      <c r="O129" s="407"/>
      <c r="P129" s="360" t="s">
        <v>1381</v>
      </c>
      <c r="Q129" s="361" t="s">
        <v>1382</v>
      </c>
      <c r="R129" s="407"/>
      <c r="S129" s="407"/>
      <c r="T129" s="407"/>
      <c r="U129" s="407"/>
    </row>
    <row r="130" spans="1:21" x14ac:dyDescent="0.35">
      <c r="A130" s="408"/>
      <c r="B130" s="376" t="s">
        <v>509</v>
      </c>
      <c r="C130" s="393" t="s">
        <v>360</v>
      </c>
      <c r="D130" s="401" t="s">
        <v>510</v>
      </c>
      <c r="E130" s="406">
        <f t="shared" si="1"/>
        <v>129</v>
      </c>
      <c r="F130" s="406"/>
      <c r="G130" s="407"/>
      <c r="H130" s="407" t="s">
        <v>124</v>
      </c>
      <c r="I130" s="407"/>
      <c r="J130" s="407"/>
      <c r="K130" s="407" t="s">
        <v>124</v>
      </c>
      <c r="L130" s="407"/>
      <c r="M130" s="407"/>
      <c r="N130" s="407"/>
      <c r="O130" s="407"/>
      <c r="P130" s="360" t="s">
        <v>1082</v>
      </c>
      <c r="Q130" s="361" t="s">
        <v>958</v>
      </c>
      <c r="R130" s="407"/>
      <c r="S130" s="407"/>
      <c r="T130" s="407"/>
      <c r="U130" s="407"/>
    </row>
    <row r="131" spans="1:21" x14ac:dyDescent="0.35">
      <c r="A131" s="408"/>
      <c r="B131" s="376" t="s">
        <v>511</v>
      </c>
      <c r="C131" s="393" t="s">
        <v>360</v>
      </c>
      <c r="D131" s="401" t="s">
        <v>512</v>
      </c>
      <c r="E131" s="406">
        <f t="shared" si="1"/>
        <v>130</v>
      </c>
      <c r="F131" s="406"/>
      <c r="G131" s="407"/>
      <c r="H131" s="407" t="s">
        <v>124</v>
      </c>
      <c r="I131" s="407"/>
      <c r="J131" s="407"/>
      <c r="K131" s="407" t="s">
        <v>124</v>
      </c>
      <c r="L131" s="407"/>
      <c r="M131" s="407"/>
      <c r="N131" s="407"/>
      <c r="O131" s="407"/>
      <c r="P131" s="360" t="s">
        <v>1083</v>
      </c>
      <c r="Q131" s="361" t="s">
        <v>1383</v>
      </c>
      <c r="R131" s="407"/>
      <c r="S131" s="407"/>
      <c r="T131" s="407"/>
      <c r="U131" s="407"/>
    </row>
    <row r="132" spans="1:21" x14ac:dyDescent="0.35">
      <c r="A132" s="408"/>
      <c r="B132" s="376" t="s">
        <v>513</v>
      </c>
      <c r="C132" s="393" t="s">
        <v>360</v>
      </c>
      <c r="D132" s="401" t="s">
        <v>514</v>
      </c>
      <c r="E132" s="406">
        <f t="shared" ref="E132:E192" si="2">E131+1</f>
        <v>131</v>
      </c>
      <c r="F132" s="406"/>
      <c r="G132" s="407"/>
      <c r="H132" s="407" t="s">
        <v>124</v>
      </c>
      <c r="I132" s="407"/>
      <c r="J132" s="407"/>
      <c r="K132" s="407" t="s">
        <v>124</v>
      </c>
      <c r="L132" s="407"/>
      <c r="M132" s="407"/>
      <c r="N132" s="407"/>
      <c r="O132" s="407"/>
      <c r="P132" s="360" t="s">
        <v>1084</v>
      </c>
      <c r="Q132" s="361" t="s">
        <v>967</v>
      </c>
      <c r="R132" s="407"/>
      <c r="S132" s="407"/>
      <c r="T132" s="407"/>
      <c r="U132" s="407"/>
    </row>
    <row r="133" spans="1:21" s="467" customFormat="1" ht="28" x14ac:dyDescent="0.35">
      <c r="A133" s="408"/>
      <c r="B133" s="1283" t="s">
        <v>2288</v>
      </c>
      <c r="C133" s="1280" t="s">
        <v>360</v>
      </c>
      <c r="D133" s="1281" t="s">
        <v>2289</v>
      </c>
      <c r="E133" s="1282">
        <f t="shared" si="2"/>
        <v>132</v>
      </c>
      <c r="F133" s="406"/>
      <c r="G133" s="407"/>
      <c r="H133" s="407" t="s">
        <v>124</v>
      </c>
      <c r="I133" s="407"/>
      <c r="J133" s="407"/>
      <c r="K133" s="407" t="s">
        <v>124</v>
      </c>
      <c r="L133" s="407"/>
      <c r="M133" s="407"/>
      <c r="N133" s="407"/>
      <c r="O133" s="407"/>
      <c r="P133" s="360" t="s">
        <v>1085</v>
      </c>
      <c r="Q133" s="361" t="s">
        <v>885</v>
      </c>
      <c r="R133" s="407"/>
      <c r="S133" s="407"/>
      <c r="T133" s="407"/>
      <c r="U133" s="407"/>
    </row>
    <row r="134" spans="1:21" x14ac:dyDescent="0.35">
      <c r="A134" s="408"/>
      <c r="B134" s="1283" t="s">
        <v>2281</v>
      </c>
      <c r="C134" s="1280" t="s">
        <v>400</v>
      </c>
      <c r="D134" s="1281" t="s">
        <v>2282</v>
      </c>
      <c r="E134" s="1282">
        <f t="shared" si="2"/>
        <v>133</v>
      </c>
      <c r="F134" s="406"/>
      <c r="G134" s="407"/>
      <c r="H134" s="407" t="s">
        <v>124</v>
      </c>
      <c r="I134" s="407"/>
      <c r="J134" s="407"/>
      <c r="K134" s="407" t="s">
        <v>124</v>
      </c>
      <c r="L134" s="407"/>
      <c r="M134" s="407"/>
      <c r="N134" s="407"/>
      <c r="O134" s="407"/>
      <c r="P134" s="360" t="s">
        <v>1085</v>
      </c>
      <c r="Q134" s="361" t="s">
        <v>885</v>
      </c>
      <c r="R134" s="407"/>
      <c r="S134" s="407"/>
      <c r="T134" s="407"/>
      <c r="U134" s="407"/>
    </row>
    <row r="135" spans="1:21" x14ac:dyDescent="0.35">
      <c r="A135" s="408"/>
      <c r="B135" s="1283" t="s">
        <v>2290</v>
      </c>
      <c r="C135" s="1280" t="s">
        <v>400</v>
      </c>
      <c r="D135" s="1281" t="s">
        <v>2291</v>
      </c>
      <c r="E135" s="1282">
        <f t="shared" si="2"/>
        <v>134</v>
      </c>
      <c r="F135" s="406"/>
      <c r="G135" s="407"/>
      <c r="H135" s="407" t="s">
        <v>124</v>
      </c>
      <c r="I135" s="407"/>
      <c r="J135" s="407"/>
      <c r="K135" s="407" t="s">
        <v>124</v>
      </c>
      <c r="L135" s="407"/>
      <c r="M135" s="407"/>
      <c r="N135" s="407"/>
      <c r="O135" s="407"/>
      <c r="P135" s="360" t="s">
        <v>1086</v>
      </c>
      <c r="Q135" s="361" t="s">
        <v>887</v>
      </c>
      <c r="R135" s="407"/>
      <c r="S135" s="407"/>
      <c r="T135" s="407"/>
      <c r="U135" s="407"/>
    </row>
    <row r="136" spans="1:21" x14ac:dyDescent="0.35">
      <c r="A136" s="408"/>
      <c r="B136" s="1283" t="s">
        <v>2318</v>
      </c>
      <c r="C136" s="1280" t="s">
        <v>400</v>
      </c>
      <c r="D136" s="1281" t="s">
        <v>2317</v>
      </c>
      <c r="E136" s="1282">
        <f t="shared" si="2"/>
        <v>135</v>
      </c>
      <c r="F136" s="406"/>
      <c r="G136" s="407"/>
      <c r="H136" s="407"/>
      <c r="I136" s="407"/>
      <c r="J136" s="407"/>
      <c r="K136" s="407"/>
      <c r="L136" s="407"/>
      <c r="M136" s="407"/>
      <c r="N136" s="407"/>
      <c r="O136" s="407"/>
      <c r="P136" s="360" t="s">
        <v>1087</v>
      </c>
      <c r="Q136" s="361" t="s">
        <v>889</v>
      </c>
      <c r="R136" s="407"/>
      <c r="S136" s="407"/>
      <c r="T136" s="407"/>
      <c r="U136" s="407"/>
    </row>
    <row r="137" spans="1:21" s="467" customFormat="1" ht="28" x14ac:dyDescent="0.35">
      <c r="A137" s="408"/>
      <c r="B137" s="1279" t="s">
        <v>2295</v>
      </c>
      <c r="C137" s="1280" t="s">
        <v>360</v>
      </c>
      <c r="D137" s="1281" t="s">
        <v>2296</v>
      </c>
      <c r="E137" s="1282">
        <f t="shared" si="2"/>
        <v>136</v>
      </c>
      <c r="F137" s="406"/>
      <c r="G137" s="407"/>
      <c r="H137" s="407"/>
      <c r="I137" s="407"/>
      <c r="J137" s="407"/>
      <c r="K137" s="407"/>
      <c r="L137" s="407"/>
      <c r="M137" s="407"/>
      <c r="N137" s="407"/>
      <c r="O137" s="407"/>
      <c r="P137" s="360"/>
      <c r="Q137" s="361"/>
      <c r="R137" s="407"/>
      <c r="S137" s="407"/>
      <c r="T137" s="407"/>
      <c r="U137" s="407"/>
    </row>
    <row r="138" spans="1:21" s="467" customFormat="1" x14ac:dyDescent="0.35">
      <c r="A138" s="408"/>
      <c r="B138" s="1279" t="s">
        <v>2075</v>
      </c>
      <c r="C138" s="1280" t="s">
        <v>360</v>
      </c>
      <c r="D138" s="1281" t="s">
        <v>2076</v>
      </c>
      <c r="E138" s="1282">
        <f t="shared" si="2"/>
        <v>137</v>
      </c>
      <c r="F138" s="406"/>
      <c r="G138" s="407"/>
      <c r="H138" s="407"/>
      <c r="I138" s="407"/>
      <c r="J138" s="407"/>
      <c r="K138" s="407"/>
      <c r="L138" s="407"/>
      <c r="M138" s="407"/>
      <c r="N138" s="407"/>
      <c r="O138" s="407"/>
      <c r="P138" s="360"/>
      <c r="Q138" s="361"/>
      <c r="R138" s="407"/>
      <c r="S138" s="407"/>
      <c r="T138" s="407"/>
      <c r="U138" s="407"/>
    </row>
    <row r="139" spans="1:21" s="467" customFormat="1" x14ac:dyDescent="0.35">
      <c r="A139" s="408"/>
      <c r="B139" s="1279" t="s">
        <v>515</v>
      </c>
      <c r="C139" s="1280" t="s">
        <v>360</v>
      </c>
      <c r="D139" s="1281" t="s">
        <v>516</v>
      </c>
      <c r="E139" s="1282">
        <f t="shared" si="2"/>
        <v>138</v>
      </c>
      <c r="F139" s="406"/>
      <c r="G139" s="407"/>
      <c r="H139" s="407"/>
      <c r="I139" s="407"/>
      <c r="J139" s="407"/>
      <c r="K139" s="407"/>
      <c r="L139" s="407"/>
      <c r="M139" s="407"/>
      <c r="N139" s="407"/>
      <c r="O139" s="407"/>
      <c r="P139" s="360"/>
      <c r="Q139" s="361"/>
      <c r="R139" s="407"/>
      <c r="S139" s="407"/>
      <c r="T139" s="407"/>
      <c r="U139" s="407"/>
    </row>
    <row r="140" spans="1:21" s="467" customFormat="1" x14ac:dyDescent="0.35">
      <c r="A140" s="408"/>
      <c r="B140" s="1279" t="s">
        <v>2077</v>
      </c>
      <c r="C140" s="1280" t="s">
        <v>360</v>
      </c>
      <c r="D140" s="1281" t="s">
        <v>2078</v>
      </c>
      <c r="E140" s="1282">
        <f t="shared" si="2"/>
        <v>139</v>
      </c>
      <c r="F140" s="406"/>
      <c r="G140" s="407"/>
      <c r="H140" s="407"/>
      <c r="I140" s="407"/>
      <c r="J140" s="407"/>
      <c r="K140" s="407"/>
      <c r="L140" s="407"/>
      <c r="M140" s="407"/>
      <c r="N140" s="407"/>
      <c r="O140" s="407"/>
      <c r="P140" s="360"/>
      <c r="Q140" s="361"/>
      <c r="R140" s="407"/>
      <c r="S140" s="407"/>
      <c r="T140" s="407"/>
      <c r="U140" s="407"/>
    </row>
    <row r="141" spans="1:21" x14ac:dyDescent="0.35">
      <c r="A141" s="408"/>
      <c r="B141" s="1279" t="s">
        <v>2272</v>
      </c>
      <c r="C141" s="1280" t="s">
        <v>360</v>
      </c>
      <c r="D141" s="1281" t="s">
        <v>2273</v>
      </c>
      <c r="E141" s="1282">
        <f t="shared" si="2"/>
        <v>140</v>
      </c>
      <c r="F141" s="406"/>
      <c r="G141" s="407"/>
      <c r="H141" s="407"/>
      <c r="I141" s="407"/>
      <c r="J141" s="407"/>
      <c r="K141" s="407"/>
      <c r="L141" s="407"/>
      <c r="M141" s="407"/>
      <c r="N141" s="407"/>
      <c r="O141" s="407"/>
      <c r="P141" s="360" t="s">
        <v>1088</v>
      </c>
      <c r="Q141" s="361" t="s">
        <v>891</v>
      </c>
      <c r="R141" s="407"/>
      <c r="S141" s="407"/>
      <c r="T141" s="407"/>
      <c r="U141" s="407"/>
    </row>
    <row r="142" spans="1:21" x14ac:dyDescent="0.35">
      <c r="A142" s="408"/>
      <c r="B142" s="1279" t="s">
        <v>2079</v>
      </c>
      <c r="C142" s="1280" t="s">
        <v>360</v>
      </c>
      <c r="D142" s="1281" t="s">
        <v>2080</v>
      </c>
      <c r="E142" s="1282">
        <f t="shared" si="2"/>
        <v>141</v>
      </c>
      <c r="F142" s="406"/>
      <c r="G142" s="407"/>
      <c r="H142" s="407"/>
      <c r="I142" s="407"/>
      <c r="J142" s="407"/>
      <c r="K142" s="407"/>
      <c r="L142" s="407"/>
      <c r="M142" s="407"/>
      <c r="N142" s="407"/>
      <c r="O142" s="407"/>
      <c r="P142" s="360" t="s">
        <v>1384</v>
      </c>
      <c r="Q142" s="361" t="s">
        <v>1385</v>
      </c>
      <c r="R142" s="407"/>
      <c r="S142" s="407"/>
      <c r="T142" s="407"/>
      <c r="U142" s="407"/>
    </row>
    <row r="143" spans="1:21" x14ac:dyDescent="0.35">
      <c r="A143" s="408"/>
      <c r="B143" s="1279" t="s">
        <v>517</v>
      </c>
      <c r="C143" s="1280" t="s">
        <v>360</v>
      </c>
      <c r="D143" s="1281" t="s">
        <v>518</v>
      </c>
      <c r="E143" s="1282">
        <f t="shared" si="2"/>
        <v>142</v>
      </c>
      <c r="F143" s="406"/>
      <c r="G143" s="407"/>
      <c r="H143" s="407"/>
      <c r="I143" s="407"/>
      <c r="J143" s="407"/>
      <c r="K143" s="407"/>
      <c r="L143" s="407"/>
      <c r="M143" s="407"/>
      <c r="N143" s="407"/>
      <c r="O143" s="407"/>
      <c r="P143" s="360" t="s">
        <v>1386</v>
      </c>
      <c r="Q143" s="361" t="s">
        <v>1387</v>
      </c>
      <c r="R143" s="407"/>
      <c r="S143" s="407"/>
      <c r="T143" s="407"/>
      <c r="U143" s="407"/>
    </row>
    <row r="144" spans="1:21" s="467" customFormat="1" ht="28" x14ac:dyDescent="0.35">
      <c r="A144" s="408"/>
      <c r="B144" s="1279" t="s">
        <v>2081</v>
      </c>
      <c r="C144" s="1280" t="s">
        <v>360</v>
      </c>
      <c r="D144" s="1281" t="s">
        <v>2082</v>
      </c>
      <c r="E144" s="1282">
        <f t="shared" si="2"/>
        <v>143</v>
      </c>
      <c r="F144" s="406"/>
      <c r="G144" s="407"/>
      <c r="H144" s="407"/>
      <c r="I144" s="407"/>
      <c r="J144" s="407"/>
      <c r="K144" s="407"/>
      <c r="L144" s="407"/>
      <c r="M144" s="407"/>
      <c r="N144" s="407"/>
      <c r="O144" s="407"/>
      <c r="P144" s="360" t="s">
        <v>1388</v>
      </c>
      <c r="Q144" s="361" t="s">
        <v>1389</v>
      </c>
      <c r="R144" s="407"/>
      <c r="S144" s="407"/>
      <c r="T144" s="407"/>
      <c r="U144" s="407"/>
    </row>
    <row r="145" spans="1:21" x14ac:dyDescent="0.35">
      <c r="A145" s="408"/>
      <c r="B145" s="1279" t="s">
        <v>2083</v>
      </c>
      <c r="C145" s="1280" t="s">
        <v>360</v>
      </c>
      <c r="D145" s="1281" t="s">
        <v>2084</v>
      </c>
      <c r="E145" s="1282">
        <f t="shared" si="2"/>
        <v>144</v>
      </c>
      <c r="F145" s="406"/>
      <c r="G145" s="407"/>
      <c r="H145" s="407"/>
      <c r="I145" s="407"/>
      <c r="J145" s="407"/>
      <c r="K145" s="407"/>
      <c r="L145" s="407"/>
      <c r="M145" s="407"/>
      <c r="N145" s="407"/>
      <c r="O145" s="407"/>
      <c r="P145" s="360" t="s">
        <v>1388</v>
      </c>
      <c r="Q145" s="361" t="s">
        <v>1389</v>
      </c>
      <c r="R145" s="407"/>
      <c r="S145" s="407"/>
      <c r="T145" s="407"/>
      <c r="U145" s="407"/>
    </row>
    <row r="146" spans="1:21" x14ac:dyDescent="0.35">
      <c r="A146" s="408"/>
      <c r="B146" s="1279" t="s">
        <v>2301</v>
      </c>
      <c r="C146" s="1280" t="s">
        <v>360</v>
      </c>
      <c r="D146" s="1281" t="s">
        <v>2302</v>
      </c>
      <c r="E146" s="1282">
        <f t="shared" si="2"/>
        <v>145</v>
      </c>
      <c r="F146" s="406"/>
      <c r="G146" s="407"/>
      <c r="H146" s="407"/>
      <c r="I146" s="407"/>
      <c r="J146" s="407"/>
      <c r="K146" s="407"/>
      <c r="L146" s="407"/>
      <c r="M146" s="407"/>
      <c r="N146" s="407"/>
      <c r="O146" s="407"/>
      <c r="P146" s="360" t="s">
        <v>1390</v>
      </c>
      <c r="Q146" s="361" t="s">
        <v>1391</v>
      </c>
      <c r="R146" s="407"/>
      <c r="S146" s="407"/>
      <c r="T146" s="407"/>
      <c r="U146" s="407"/>
    </row>
    <row r="147" spans="1:21" x14ac:dyDescent="0.35">
      <c r="A147" s="408"/>
      <c r="B147" s="1283" t="s">
        <v>2309</v>
      </c>
      <c r="C147" s="1280" t="s">
        <v>360</v>
      </c>
      <c r="D147" s="1281" t="s">
        <v>2312</v>
      </c>
      <c r="E147" s="1282">
        <f t="shared" si="2"/>
        <v>146</v>
      </c>
      <c r="F147" s="406"/>
      <c r="G147" s="407"/>
      <c r="H147" s="407"/>
      <c r="I147" s="407"/>
      <c r="J147" s="407"/>
      <c r="K147" s="407"/>
      <c r="L147" s="407"/>
      <c r="M147" s="407"/>
      <c r="N147" s="407"/>
      <c r="O147" s="407"/>
      <c r="P147" s="360" t="s">
        <v>1089</v>
      </c>
      <c r="Q147" s="361" t="s">
        <v>893</v>
      </c>
      <c r="R147" s="407"/>
      <c r="S147" s="407"/>
      <c r="T147" s="407"/>
      <c r="U147" s="407"/>
    </row>
    <row r="148" spans="1:21" ht="28" x14ac:dyDescent="0.35">
      <c r="A148" s="408"/>
      <c r="B148" s="1283" t="s">
        <v>2314</v>
      </c>
      <c r="C148" s="1280" t="s">
        <v>360</v>
      </c>
      <c r="D148" s="1281" t="s">
        <v>2315</v>
      </c>
      <c r="E148" s="1282">
        <f t="shared" si="2"/>
        <v>147</v>
      </c>
      <c r="F148" s="406"/>
      <c r="G148" s="407"/>
      <c r="H148" s="407"/>
      <c r="I148" s="407"/>
      <c r="J148" s="407"/>
      <c r="K148" s="407"/>
      <c r="L148" s="407"/>
      <c r="M148" s="407"/>
      <c r="N148" s="407"/>
      <c r="O148" s="407"/>
      <c r="P148" s="360" t="s">
        <v>1090</v>
      </c>
      <c r="Q148" s="361" t="s">
        <v>895</v>
      </c>
      <c r="R148" s="407"/>
      <c r="S148" s="407"/>
      <c r="T148" s="407"/>
      <c r="U148" s="407"/>
    </row>
    <row r="149" spans="1:21" x14ac:dyDescent="0.35">
      <c r="A149" s="408"/>
      <c r="B149" s="1283" t="s">
        <v>2085</v>
      </c>
      <c r="C149" s="1280" t="s">
        <v>360</v>
      </c>
      <c r="D149" s="1281" t="s">
        <v>2086</v>
      </c>
      <c r="E149" s="1282">
        <f t="shared" si="2"/>
        <v>148</v>
      </c>
      <c r="F149" s="406"/>
      <c r="G149" s="407"/>
      <c r="H149" s="407"/>
      <c r="I149" s="407"/>
      <c r="J149" s="407"/>
      <c r="K149" s="407"/>
      <c r="L149" s="407"/>
      <c r="M149" s="407"/>
      <c r="N149" s="407"/>
      <c r="O149" s="407"/>
      <c r="P149" s="360" t="s">
        <v>1091</v>
      </c>
      <c r="Q149" s="361" t="s">
        <v>897</v>
      </c>
      <c r="R149" s="407"/>
      <c r="S149" s="407"/>
      <c r="T149" s="407"/>
      <c r="U149" s="407"/>
    </row>
    <row r="150" spans="1:21" s="467" customFormat="1" ht="28" x14ac:dyDescent="0.35">
      <c r="A150" s="408"/>
      <c r="B150" s="1283" t="s">
        <v>2305</v>
      </c>
      <c r="C150" s="1280" t="s">
        <v>360</v>
      </c>
      <c r="D150" s="1281" t="s">
        <v>2306</v>
      </c>
      <c r="E150" s="1282">
        <f t="shared" si="2"/>
        <v>149</v>
      </c>
      <c r="F150" s="406"/>
      <c r="G150" s="407"/>
      <c r="H150" s="407"/>
      <c r="I150" s="407"/>
      <c r="J150" s="407"/>
      <c r="K150" s="407"/>
      <c r="L150" s="407"/>
      <c r="M150" s="407"/>
      <c r="N150" s="407"/>
      <c r="O150" s="407"/>
      <c r="P150" s="360"/>
      <c r="Q150" s="361"/>
      <c r="R150" s="407"/>
      <c r="S150" s="407"/>
      <c r="T150" s="407"/>
      <c r="U150" s="407"/>
    </row>
    <row r="151" spans="1:21" s="467" customFormat="1" x14ac:dyDescent="0.35">
      <c r="A151" s="408"/>
      <c r="B151" s="1283" t="s">
        <v>2087</v>
      </c>
      <c r="C151" s="1280" t="s">
        <v>360</v>
      </c>
      <c r="D151" s="1281" t="s">
        <v>2088</v>
      </c>
      <c r="E151" s="1282">
        <f t="shared" si="2"/>
        <v>150</v>
      </c>
      <c r="F151" s="406"/>
      <c r="G151" s="407"/>
      <c r="H151" s="407"/>
      <c r="I151" s="407"/>
      <c r="J151" s="407"/>
      <c r="K151" s="407"/>
      <c r="L151" s="407"/>
      <c r="M151" s="407"/>
      <c r="N151" s="407"/>
      <c r="O151" s="407"/>
      <c r="P151" s="360"/>
      <c r="Q151" s="361"/>
      <c r="R151" s="407"/>
      <c r="S151" s="407"/>
      <c r="T151" s="407"/>
      <c r="U151" s="407"/>
    </row>
    <row r="152" spans="1:21" s="467" customFormat="1" ht="28" x14ac:dyDescent="0.35">
      <c r="A152" s="408"/>
      <c r="B152" s="1279" t="s">
        <v>2286</v>
      </c>
      <c r="C152" s="1280" t="s">
        <v>360</v>
      </c>
      <c r="D152" s="1281" t="s">
        <v>2287</v>
      </c>
      <c r="E152" s="1282">
        <f t="shared" si="2"/>
        <v>151</v>
      </c>
      <c r="F152" s="406"/>
      <c r="G152" s="407"/>
      <c r="H152" s="407"/>
      <c r="I152" s="407"/>
      <c r="J152" s="407"/>
      <c r="K152" s="407"/>
      <c r="L152" s="407"/>
      <c r="M152" s="407"/>
      <c r="N152" s="407"/>
      <c r="O152" s="407"/>
      <c r="P152" s="360"/>
      <c r="Q152" s="361"/>
      <c r="R152" s="407"/>
      <c r="S152" s="407"/>
      <c r="T152" s="407"/>
      <c r="U152" s="407"/>
    </row>
    <row r="153" spans="1:21" s="467" customFormat="1" ht="28" x14ac:dyDescent="0.35">
      <c r="A153" s="408"/>
      <c r="B153" s="1279" t="s">
        <v>519</v>
      </c>
      <c r="C153" s="1280" t="s">
        <v>360</v>
      </c>
      <c r="D153" s="1281" t="s">
        <v>520</v>
      </c>
      <c r="E153" s="1282">
        <f t="shared" si="2"/>
        <v>152</v>
      </c>
      <c r="F153" s="406"/>
      <c r="G153" s="407"/>
      <c r="H153" s="407"/>
      <c r="I153" s="407"/>
      <c r="J153" s="407"/>
      <c r="K153" s="407"/>
      <c r="L153" s="407"/>
      <c r="M153" s="407"/>
      <c r="N153" s="407"/>
      <c r="O153" s="407"/>
      <c r="P153" s="360"/>
      <c r="Q153" s="361"/>
      <c r="R153" s="407"/>
      <c r="S153" s="407"/>
      <c r="T153" s="407"/>
      <c r="U153" s="407"/>
    </row>
    <row r="154" spans="1:21" x14ac:dyDescent="0.35">
      <c r="A154" s="408"/>
      <c r="B154" s="1279" t="s">
        <v>2299</v>
      </c>
      <c r="C154" s="1280" t="s">
        <v>360</v>
      </c>
      <c r="D154" s="1281" t="s">
        <v>2300</v>
      </c>
      <c r="E154" s="1282">
        <f t="shared" si="2"/>
        <v>153</v>
      </c>
      <c r="F154" s="406"/>
      <c r="G154" s="407"/>
      <c r="H154" s="407"/>
      <c r="I154" s="407"/>
      <c r="J154" s="407"/>
      <c r="K154" s="407"/>
      <c r="L154" s="407"/>
      <c r="M154" s="407"/>
      <c r="N154" s="407"/>
      <c r="O154" s="407"/>
      <c r="P154" s="360" t="s">
        <v>1092</v>
      </c>
      <c r="Q154" s="361" t="s">
        <v>899</v>
      </c>
      <c r="R154" s="407"/>
      <c r="S154" s="407"/>
      <c r="T154" s="407"/>
      <c r="U154" s="407"/>
    </row>
    <row r="155" spans="1:21" ht="28" x14ac:dyDescent="0.35">
      <c r="A155" s="408"/>
      <c r="B155" s="1283" t="s">
        <v>2283</v>
      </c>
      <c r="C155" s="1280" t="s">
        <v>360</v>
      </c>
      <c r="D155" s="1281" t="s">
        <v>2284</v>
      </c>
      <c r="E155" s="1282">
        <f t="shared" si="2"/>
        <v>154</v>
      </c>
      <c r="F155" s="406"/>
      <c r="G155" s="407"/>
      <c r="H155" s="407"/>
      <c r="I155" s="407"/>
      <c r="J155" s="407"/>
      <c r="K155" s="407"/>
      <c r="L155" s="407"/>
      <c r="M155" s="407"/>
      <c r="N155" s="407"/>
      <c r="O155" s="407"/>
      <c r="P155" s="360" t="s">
        <v>1172</v>
      </c>
      <c r="Q155" s="361" t="s">
        <v>901</v>
      </c>
      <c r="R155" s="407"/>
      <c r="S155" s="407"/>
      <c r="T155" s="407"/>
      <c r="U155" s="407"/>
    </row>
    <row r="156" spans="1:21" x14ac:dyDescent="0.35">
      <c r="A156" s="408"/>
      <c r="B156" s="1283" t="s">
        <v>2297</v>
      </c>
      <c r="C156" s="1280" t="s">
        <v>360</v>
      </c>
      <c r="D156" s="1281" t="s">
        <v>2298</v>
      </c>
      <c r="E156" s="1282">
        <f t="shared" si="2"/>
        <v>155</v>
      </c>
      <c r="F156" s="406"/>
      <c r="G156" s="407"/>
      <c r="H156" s="407"/>
      <c r="I156" s="407"/>
      <c r="J156" s="407"/>
      <c r="K156" s="407"/>
      <c r="L156" s="407"/>
      <c r="M156" s="407"/>
      <c r="N156" s="407"/>
      <c r="O156" s="407"/>
      <c r="P156" s="360" t="s">
        <v>1093</v>
      </c>
      <c r="Q156" s="361" t="s">
        <v>965</v>
      </c>
      <c r="R156" s="407"/>
      <c r="S156" s="407"/>
      <c r="T156" s="407"/>
      <c r="U156" s="407"/>
    </row>
    <row r="157" spans="1:21" ht="15" customHeight="1" x14ac:dyDescent="0.35">
      <c r="A157" s="408"/>
      <c r="B157" s="1283" t="s">
        <v>2292</v>
      </c>
      <c r="C157" s="1280" t="s">
        <v>360</v>
      </c>
      <c r="D157" s="1281" t="s">
        <v>2293</v>
      </c>
      <c r="E157" s="1282">
        <f t="shared" si="2"/>
        <v>156</v>
      </c>
      <c r="F157" s="406"/>
      <c r="G157" s="407"/>
      <c r="H157" s="407"/>
      <c r="I157" s="407"/>
      <c r="J157" s="407"/>
      <c r="K157" s="407"/>
      <c r="L157" s="407"/>
      <c r="M157" s="407"/>
      <c r="N157" s="407"/>
      <c r="O157" s="407"/>
      <c r="P157" s="360" t="s">
        <v>1094</v>
      </c>
      <c r="Q157" s="361" t="s">
        <v>905</v>
      </c>
      <c r="R157" s="407"/>
      <c r="S157" s="407"/>
      <c r="T157" s="407"/>
      <c r="U157" s="407"/>
    </row>
    <row r="158" spans="1:21" x14ac:dyDescent="0.35">
      <c r="A158" s="408"/>
      <c r="B158" s="1079" t="s">
        <v>2020</v>
      </c>
      <c r="C158" s="1077" t="s">
        <v>360</v>
      </c>
      <c r="D158" s="1080" t="s">
        <v>514</v>
      </c>
      <c r="E158" s="406">
        <f t="shared" si="2"/>
        <v>157</v>
      </c>
      <c r="F158" s="406"/>
      <c r="G158" s="407"/>
      <c r="H158" s="407"/>
      <c r="I158" s="407"/>
      <c r="J158" s="407"/>
      <c r="K158" s="407"/>
      <c r="L158" s="407"/>
      <c r="M158" s="407"/>
      <c r="N158" s="407"/>
      <c r="O158" s="407"/>
      <c r="P158" s="360" t="s">
        <v>1095</v>
      </c>
      <c r="Q158" s="361" t="s">
        <v>966</v>
      </c>
      <c r="R158" s="407"/>
      <c r="S158" s="407"/>
      <c r="T158" s="407"/>
      <c r="U158" s="407"/>
    </row>
    <row r="159" spans="1:21" x14ac:dyDescent="0.35">
      <c r="A159" s="408"/>
      <c r="B159" s="1079" t="s">
        <v>2021</v>
      </c>
      <c r="C159" s="1077" t="s">
        <v>360</v>
      </c>
      <c r="D159" s="1080" t="s">
        <v>512</v>
      </c>
      <c r="E159" s="406">
        <f t="shared" si="2"/>
        <v>158</v>
      </c>
      <c r="F159" s="406"/>
      <c r="G159" s="407"/>
      <c r="H159" s="407"/>
      <c r="I159" s="407"/>
      <c r="J159" s="407"/>
      <c r="K159" s="407"/>
      <c r="L159" s="407"/>
      <c r="M159" s="407"/>
      <c r="N159" s="407"/>
      <c r="O159" s="407"/>
      <c r="P159" s="360" t="s">
        <v>1096</v>
      </c>
      <c r="Q159" s="361" t="s">
        <v>970</v>
      </c>
      <c r="R159" s="407"/>
      <c r="S159" s="407"/>
      <c r="T159" s="407"/>
      <c r="U159" s="407"/>
    </row>
    <row r="160" spans="1:21" ht="28" x14ac:dyDescent="0.35">
      <c r="A160" s="408"/>
      <c r="B160" s="1079" t="s">
        <v>2022</v>
      </c>
      <c r="C160" s="1077" t="s">
        <v>402</v>
      </c>
      <c r="D160" s="1080" t="s">
        <v>1491</v>
      </c>
      <c r="E160" s="406">
        <f t="shared" si="2"/>
        <v>159</v>
      </c>
      <c r="F160" s="406"/>
      <c r="G160" s="407"/>
      <c r="H160" s="407"/>
      <c r="I160" s="407"/>
      <c r="J160" s="407"/>
      <c r="K160" s="407"/>
      <c r="L160" s="407"/>
      <c r="M160" s="407"/>
      <c r="N160" s="407"/>
      <c r="O160" s="407"/>
      <c r="P160" s="360" t="s">
        <v>1097</v>
      </c>
      <c r="Q160" s="361" t="s">
        <v>971</v>
      </c>
      <c r="R160" s="407"/>
      <c r="S160" s="407"/>
      <c r="T160" s="407"/>
      <c r="U160" s="407"/>
    </row>
    <row r="161" spans="1:21" x14ac:dyDescent="0.35">
      <c r="A161" s="408"/>
      <c r="B161" s="376" t="s">
        <v>521</v>
      </c>
      <c r="C161" s="393" t="s">
        <v>402</v>
      </c>
      <c r="D161" s="401" t="s">
        <v>1497</v>
      </c>
      <c r="E161" s="406">
        <f t="shared" si="2"/>
        <v>160</v>
      </c>
      <c r="F161" s="406"/>
      <c r="G161" s="407"/>
      <c r="H161" s="407"/>
      <c r="I161" s="407"/>
      <c r="J161" s="407"/>
      <c r="K161" s="407"/>
      <c r="L161" s="407"/>
      <c r="M161" s="407"/>
      <c r="N161" s="407"/>
      <c r="O161" s="407"/>
      <c r="P161" s="360" t="s">
        <v>1173</v>
      </c>
      <c r="Q161" s="361" t="s">
        <v>1179</v>
      </c>
      <c r="R161" s="407"/>
      <c r="S161" s="407"/>
      <c r="T161" s="407"/>
      <c r="U161" s="407"/>
    </row>
    <row r="162" spans="1:21" x14ac:dyDescent="0.35">
      <c r="A162" s="408"/>
      <c r="B162" s="376" t="s">
        <v>522</v>
      </c>
      <c r="C162" s="393" t="s">
        <v>402</v>
      </c>
      <c r="D162" s="401" t="s">
        <v>1497</v>
      </c>
      <c r="E162" s="406">
        <f t="shared" si="2"/>
        <v>161</v>
      </c>
      <c r="F162" s="406"/>
      <c r="G162" s="407"/>
      <c r="H162" s="407"/>
      <c r="I162" s="407"/>
      <c r="J162" s="407"/>
      <c r="K162" s="407"/>
      <c r="L162" s="407"/>
      <c r="M162" s="407"/>
      <c r="N162" s="407"/>
      <c r="O162" s="407"/>
      <c r="P162" s="360" t="s">
        <v>1098</v>
      </c>
      <c r="Q162" s="361" t="s">
        <v>910</v>
      </c>
      <c r="R162" s="407"/>
      <c r="S162" s="407"/>
      <c r="T162" s="407"/>
      <c r="U162" s="407"/>
    </row>
    <row r="163" spans="1:21" x14ac:dyDescent="0.35">
      <c r="A163" s="408"/>
      <c r="B163" s="376" t="s">
        <v>523</v>
      </c>
      <c r="C163" s="397" t="s">
        <v>229</v>
      </c>
      <c r="D163" s="401" t="s">
        <v>524</v>
      </c>
      <c r="E163" s="406">
        <f t="shared" si="2"/>
        <v>162</v>
      </c>
      <c r="F163" s="406"/>
      <c r="G163" s="407"/>
      <c r="H163" s="407"/>
      <c r="I163" s="407"/>
      <c r="J163" s="407"/>
      <c r="K163" s="407"/>
      <c r="L163" s="407"/>
      <c r="M163" s="407"/>
      <c r="N163" s="407"/>
      <c r="O163" s="407"/>
      <c r="P163" s="360" t="s">
        <v>1099</v>
      </c>
      <c r="Q163" s="361" t="s">
        <v>983</v>
      </c>
      <c r="R163" s="407"/>
      <c r="S163" s="407"/>
      <c r="T163" s="407"/>
      <c r="U163" s="407"/>
    </row>
    <row r="164" spans="1:21" x14ac:dyDescent="0.35">
      <c r="A164" s="408"/>
      <c r="B164" s="376" t="s">
        <v>525</v>
      </c>
      <c r="C164" s="397" t="s">
        <v>229</v>
      </c>
      <c r="D164" s="401" t="s">
        <v>526</v>
      </c>
      <c r="E164" s="406">
        <f t="shared" si="2"/>
        <v>163</v>
      </c>
      <c r="F164" s="406"/>
      <c r="G164" s="407"/>
      <c r="H164" s="407"/>
      <c r="I164" s="407"/>
      <c r="J164" s="407"/>
      <c r="K164" s="407"/>
      <c r="L164" s="407"/>
      <c r="M164" s="407"/>
      <c r="N164" s="407"/>
      <c r="O164" s="407"/>
      <c r="P164" s="360" t="s">
        <v>1392</v>
      </c>
      <c r="Q164" s="361" t="s">
        <v>1300</v>
      </c>
      <c r="R164" s="407"/>
      <c r="S164" s="407"/>
      <c r="T164" s="407"/>
      <c r="U164" s="407"/>
    </row>
    <row r="165" spans="1:21" x14ac:dyDescent="0.35">
      <c r="A165" s="408"/>
      <c r="B165" s="376" t="s">
        <v>527</v>
      </c>
      <c r="C165" s="397" t="s">
        <v>229</v>
      </c>
      <c r="D165" s="401" t="s">
        <v>528</v>
      </c>
      <c r="E165" s="406">
        <f t="shared" si="2"/>
        <v>164</v>
      </c>
      <c r="F165" s="406"/>
      <c r="G165" s="407"/>
      <c r="H165" s="407"/>
      <c r="I165" s="407"/>
      <c r="J165" s="407"/>
      <c r="K165" s="407"/>
      <c r="L165" s="407"/>
      <c r="M165" s="407"/>
      <c r="N165" s="407"/>
      <c r="O165" s="407"/>
      <c r="P165" s="360" t="s">
        <v>1174</v>
      </c>
      <c r="Q165" s="361" t="s">
        <v>1180</v>
      </c>
      <c r="R165" s="407"/>
      <c r="S165" s="407"/>
      <c r="T165" s="407"/>
      <c r="U165" s="407"/>
    </row>
    <row r="166" spans="1:21" x14ac:dyDescent="0.35">
      <c r="A166" s="408"/>
      <c r="B166" s="376" t="s">
        <v>530</v>
      </c>
      <c r="C166" s="393" t="s">
        <v>402</v>
      </c>
      <c r="D166" s="401" t="s">
        <v>531</v>
      </c>
      <c r="E166" s="406">
        <f t="shared" si="2"/>
        <v>165</v>
      </c>
      <c r="F166" s="406"/>
      <c r="G166" s="407"/>
      <c r="H166" s="407"/>
      <c r="I166" s="407"/>
      <c r="J166" s="407"/>
      <c r="K166" s="407"/>
      <c r="L166" s="407"/>
      <c r="M166" s="407"/>
      <c r="N166" s="407"/>
      <c r="O166" s="407"/>
      <c r="P166" s="360" t="s">
        <v>1100</v>
      </c>
      <c r="Q166" s="361" t="s">
        <v>914</v>
      </c>
      <c r="R166" s="407"/>
      <c r="S166" s="407"/>
      <c r="T166" s="407"/>
      <c r="U166" s="407"/>
    </row>
    <row r="167" spans="1:21" x14ac:dyDescent="0.35">
      <c r="A167" s="408"/>
      <c r="B167" s="376" t="s">
        <v>529</v>
      </c>
      <c r="C167" s="393" t="s">
        <v>360</v>
      </c>
      <c r="D167" s="401" t="s">
        <v>1497</v>
      </c>
      <c r="E167" s="406">
        <f t="shared" si="2"/>
        <v>166</v>
      </c>
      <c r="F167" s="406"/>
      <c r="G167" s="407"/>
      <c r="H167" s="407"/>
      <c r="I167" s="407"/>
      <c r="J167" s="407"/>
      <c r="K167" s="407"/>
      <c r="L167" s="407"/>
      <c r="M167" s="407"/>
      <c r="N167" s="407"/>
      <c r="O167" s="407"/>
      <c r="P167" s="360" t="s">
        <v>1101</v>
      </c>
      <c r="Q167" s="361" t="s">
        <v>916</v>
      </c>
      <c r="R167" s="407"/>
      <c r="S167" s="407"/>
      <c r="T167" s="407"/>
      <c r="U167" s="407"/>
    </row>
    <row r="168" spans="1:21" ht="28" x14ac:dyDescent="0.35">
      <c r="A168" s="408"/>
      <c r="B168" s="376" t="s">
        <v>532</v>
      </c>
      <c r="C168" s="393" t="s">
        <v>360</v>
      </c>
      <c r="D168" s="401" t="s">
        <v>533</v>
      </c>
      <c r="E168" s="406">
        <f t="shared" si="2"/>
        <v>167</v>
      </c>
      <c r="F168" s="406"/>
      <c r="G168" s="407"/>
      <c r="H168" s="407"/>
      <c r="I168" s="407"/>
      <c r="J168" s="407"/>
      <c r="K168" s="407"/>
      <c r="L168" s="407"/>
      <c r="M168" s="407"/>
      <c r="N168" s="407"/>
      <c r="O168" s="407"/>
      <c r="P168" s="373"/>
      <c r="Q168" s="374"/>
      <c r="R168" s="407"/>
      <c r="S168" s="407"/>
      <c r="T168" s="407"/>
      <c r="U168" s="407"/>
    </row>
    <row r="169" spans="1:21" x14ac:dyDescent="0.3">
      <c r="A169" s="408"/>
      <c r="B169" s="1076" t="s">
        <v>2023</v>
      </c>
      <c r="C169" s="1077" t="s">
        <v>229</v>
      </c>
      <c r="D169" s="1078" t="s">
        <v>2026</v>
      </c>
      <c r="E169" s="406">
        <f t="shared" si="2"/>
        <v>168</v>
      </c>
      <c r="F169" s="406"/>
      <c r="G169" s="407"/>
      <c r="H169" s="407"/>
      <c r="I169" s="407"/>
      <c r="J169" s="407"/>
      <c r="K169" s="407"/>
      <c r="L169" s="407"/>
      <c r="M169" s="407"/>
      <c r="N169" s="407"/>
      <c r="O169" s="407"/>
      <c r="P169" s="373"/>
      <c r="Q169" s="374"/>
      <c r="R169" s="407"/>
      <c r="S169" s="407"/>
      <c r="T169" s="407"/>
      <c r="U169" s="407"/>
    </row>
    <row r="170" spans="1:21" x14ac:dyDescent="0.3">
      <c r="A170" s="408"/>
      <c r="B170" s="1076" t="s">
        <v>2024</v>
      </c>
      <c r="C170" s="1077" t="s">
        <v>229</v>
      </c>
      <c r="D170" s="1078" t="s">
        <v>2027</v>
      </c>
      <c r="E170" s="406">
        <f t="shared" si="2"/>
        <v>169</v>
      </c>
      <c r="F170" s="406"/>
      <c r="G170" s="407"/>
      <c r="H170" s="407"/>
      <c r="I170" s="407"/>
      <c r="J170" s="407"/>
      <c r="K170" s="407"/>
      <c r="L170" s="407"/>
      <c r="M170" s="407"/>
      <c r="N170" s="407"/>
      <c r="O170" s="407"/>
      <c r="P170" s="373"/>
      <c r="Q170" s="374"/>
      <c r="R170" s="407"/>
      <c r="S170" s="407"/>
      <c r="T170" s="407"/>
      <c r="U170" s="407"/>
    </row>
    <row r="171" spans="1:21" x14ac:dyDescent="0.3">
      <c r="A171" s="408"/>
      <c r="B171" s="1076" t="s">
        <v>2025</v>
      </c>
      <c r="C171" s="1077" t="s">
        <v>229</v>
      </c>
      <c r="D171" s="1078" t="s">
        <v>528</v>
      </c>
      <c r="E171" s="406">
        <f t="shared" si="2"/>
        <v>170</v>
      </c>
      <c r="F171" s="406"/>
      <c r="G171" s="407"/>
      <c r="H171" s="407"/>
      <c r="I171" s="407"/>
      <c r="J171" s="407"/>
      <c r="K171" s="407"/>
      <c r="L171" s="407"/>
      <c r="M171" s="407"/>
      <c r="N171" s="407"/>
      <c r="O171" s="407"/>
      <c r="P171" s="373"/>
      <c r="Q171" s="374"/>
      <c r="R171" s="407"/>
      <c r="S171" s="407"/>
      <c r="T171" s="407"/>
      <c r="U171" s="407"/>
    </row>
    <row r="172" spans="1:21" ht="28" x14ac:dyDescent="0.3">
      <c r="A172" s="408"/>
      <c r="B172" s="1076" t="s">
        <v>532</v>
      </c>
      <c r="C172" s="1077" t="s">
        <v>360</v>
      </c>
      <c r="D172" s="1078" t="s">
        <v>533</v>
      </c>
      <c r="E172" s="406">
        <f t="shared" si="2"/>
        <v>171</v>
      </c>
      <c r="F172" s="406"/>
      <c r="G172" s="407"/>
      <c r="H172" s="407"/>
      <c r="I172" s="407"/>
      <c r="J172" s="407"/>
      <c r="K172" s="407"/>
      <c r="L172" s="407"/>
      <c r="M172" s="407"/>
      <c r="N172" s="407"/>
      <c r="O172" s="407"/>
      <c r="P172" s="373"/>
      <c r="Q172" s="374"/>
      <c r="R172" s="407"/>
      <c r="S172" s="407"/>
      <c r="T172" s="407"/>
      <c r="U172" s="407"/>
    </row>
    <row r="173" spans="1:21" ht="28" x14ac:dyDescent="0.35">
      <c r="A173" s="408"/>
      <c r="B173" s="376" t="s">
        <v>535</v>
      </c>
      <c r="C173" s="393" t="s">
        <v>402</v>
      </c>
      <c r="D173" s="401" t="s">
        <v>1498</v>
      </c>
      <c r="E173" s="406">
        <f t="shared" si="2"/>
        <v>172</v>
      </c>
      <c r="F173" s="406"/>
      <c r="G173" s="407"/>
      <c r="H173" s="407"/>
      <c r="I173" s="407"/>
      <c r="J173" s="407"/>
      <c r="K173" s="407"/>
      <c r="L173" s="407"/>
      <c r="M173" s="407"/>
      <c r="N173" s="407"/>
      <c r="O173" s="407"/>
      <c r="P173" s="373"/>
      <c r="Q173" s="374"/>
      <c r="R173" s="407"/>
      <c r="S173" s="407"/>
      <c r="T173" s="407"/>
      <c r="U173" s="407"/>
    </row>
    <row r="174" spans="1:21" x14ac:dyDescent="0.35">
      <c r="A174" s="408"/>
      <c r="B174" s="376" t="s">
        <v>534</v>
      </c>
      <c r="C174" s="393" t="s">
        <v>360</v>
      </c>
      <c r="D174" s="401" t="s">
        <v>1497</v>
      </c>
      <c r="E174" s="406">
        <f t="shared" si="2"/>
        <v>173</v>
      </c>
      <c r="F174" s="406"/>
      <c r="G174" s="407"/>
      <c r="H174" s="407"/>
      <c r="I174" s="407"/>
      <c r="J174" s="407"/>
      <c r="K174" s="407"/>
      <c r="L174" s="407"/>
      <c r="M174" s="407"/>
      <c r="N174" s="407"/>
      <c r="O174" s="407"/>
      <c r="P174" s="373"/>
      <c r="Q174" s="374"/>
      <c r="R174" s="407"/>
      <c r="S174" s="407"/>
      <c r="T174" s="407"/>
      <c r="U174" s="407"/>
    </row>
    <row r="175" spans="1:21" x14ac:dyDescent="0.35">
      <c r="A175" s="408"/>
      <c r="B175" s="376" t="s">
        <v>536</v>
      </c>
      <c r="C175" s="393" t="s">
        <v>402</v>
      </c>
      <c r="D175" s="401" t="s">
        <v>1497</v>
      </c>
      <c r="E175" s="406">
        <f t="shared" si="2"/>
        <v>174</v>
      </c>
      <c r="F175" s="406"/>
      <c r="G175" s="407"/>
      <c r="H175" s="407"/>
      <c r="I175" s="407"/>
      <c r="J175" s="407"/>
      <c r="K175" s="407"/>
      <c r="L175" s="407"/>
      <c r="M175" s="407"/>
      <c r="N175" s="407"/>
      <c r="O175" s="407"/>
      <c r="P175" s="373"/>
      <c r="Q175" s="374"/>
      <c r="R175" s="407"/>
      <c r="S175" s="407"/>
      <c r="T175" s="407"/>
      <c r="U175" s="407"/>
    </row>
    <row r="176" spans="1:21" x14ac:dyDescent="0.35">
      <c r="A176" s="408"/>
      <c r="B176" s="376" t="s">
        <v>537</v>
      </c>
      <c r="C176" s="393" t="s">
        <v>360</v>
      </c>
      <c r="D176" s="401" t="s">
        <v>538</v>
      </c>
      <c r="E176" s="406">
        <f t="shared" si="2"/>
        <v>175</v>
      </c>
      <c r="F176" s="406"/>
      <c r="G176" s="407"/>
      <c r="H176" s="407"/>
      <c r="I176" s="407"/>
      <c r="J176" s="407"/>
      <c r="K176" s="407"/>
      <c r="L176" s="407"/>
      <c r="M176" s="407"/>
      <c r="N176" s="407"/>
      <c r="O176" s="407"/>
      <c r="P176" s="373"/>
      <c r="Q176" s="374"/>
      <c r="R176" s="407"/>
      <c r="S176" s="407"/>
      <c r="T176" s="407"/>
      <c r="U176" s="407"/>
    </row>
    <row r="177" spans="1:21" x14ac:dyDescent="0.35">
      <c r="A177" s="408"/>
      <c r="B177" s="376" t="s">
        <v>539</v>
      </c>
      <c r="C177" s="393" t="s">
        <v>360</v>
      </c>
      <c r="D177" s="401" t="s">
        <v>540</v>
      </c>
      <c r="E177" s="406">
        <f t="shared" si="2"/>
        <v>176</v>
      </c>
      <c r="F177" s="406"/>
      <c r="G177" s="407"/>
      <c r="H177" s="407"/>
      <c r="I177" s="407"/>
      <c r="J177" s="407"/>
      <c r="K177" s="407"/>
      <c r="L177" s="407"/>
      <c r="M177" s="407"/>
      <c r="N177" s="407"/>
      <c r="O177" s="407"/>
      <c r="P177" s="373"/>
      <c r="Q177" s="374"/>
      <c r="R177" s="407"/>
      <c r="S177" s="407"/>
      <c r="T177" s="407"/>
      <c r="U177" s="407"/>
    </row>
    <row r="178" spans="1:21" x14ac:dyDescent="0.35">
      <c r="A178" s="408"/>
      <c r="B178" s="376" t="s">
        <v>541</v>
      </c>
      <c r="C178" s="393" t="s">
        <v>360</v>
      </c>
      <c r="D178" s="401" t="s">
        <v>542</v>
      </c>
      <c r="E178" s="406">
        <f t="shared" si="2"/>
        <v>177</v>
      </c>
      <c r="F178" s="406"/>
      <c r="G178" s="407"/>
      <c r="H178" s="407"/>
      <c r="I178" s="407"/>
      <c r="J178" s="407"/>
      <c r="K178" s="407"/>
      <c r="L178" s="407"/>
      <c r="M178" s="407"/>
      <c r="N178" s="407"/>
      <c r="O178" s="407"/>
      <c r="P178" s="373"/>
      <c r="Q178" s="374"/>
      <c r="R178" s="407"/>
      <c r="S178" s="407"/>
      <c r="T178" s="407"/>
      <c r="U178" s="407"/>
    </row>
    <row r="179" spans="1:21" x14ac:dyDescent="0.35">
      <c r="A179" s="408"/>
      <c r="B179" s="376" t="s">
        <v>543</v>
      </c>
      <c r="C179" s="393" t="s">
        <v>360</v>
      </c>
      <c r="D179" s="401" t="s">
        <v>544</v>
      </c>
      <c r="E179" s="406">
        <f t="shared" si="2"/>
        <v>178</v>
      </c>
      <c r="F179" s="406"/>
      <c r="G179" s="407"/>
      <c r="H179" s="407"/>
      <c r="I179" s="407"/>
      <c r="J179" s="407"/>
      <c r="K179" s="407"/>
      <c r="L179" s="407"/>
      <c r="M179" s="407"/>
      <c r="N179" s="407"/>
      <c r="O179" s="407"/>
      <c r="P179" s="373"/>
      <c r="Q179" s="374"/>
      <c r="R179" s="407"/>
      <c r="S179" s="407"/>
      <c r="T179" s="407"/>
      <c r="U179" s="407"/>
    </row>
    <row r="180" spans="1:21" x14ac:dyDescent="0.35">
      <c r="A180" s="408"/>
      <c r="B180" s="376" t="s">
        <v>545</v>
      </c>
      <c r="C180" s="393" t="s">
        <v>360</v>
      </c>
      <c r="D180" s="401" t="s">
        <v>546</v>
      </c>
      <c r="E180" s="406">
        <f t="shared" si="2"/>
        <v>179</v>
      </c>
      <c r="F180" s="406"/>
      <c r="G180" s="407"/>
      <c r="H180" s="407"/>
      <c r="I180" s="407"/>
      <c r="J180" s="407"/>
      <c r="K180" s="407"/>
      <c r="L180" s="407"/>
      <c r="M180" s="407"/>
      <c r="N180" s="407"/>
      <c r="O180" s="407"/>
      <c r="P180" s="373"/>
      <c r="Q180" s="374"/>
      <c r="R180" s="407"/>
      <c r="S180" s="407"/>
      <c r="T180" s="407"/>
      <c r="U180" s="407"/>
    </row>
    <row r="181" spans="1:21" x14ac:dyDescent="0.35">
      <c r="A181" s="408"/>
      <c r="B181" s="376" t="s">
        <v>547</v>
      </c>
      <c r="C181" s="393" t="s">
        <v>360</v>
      </c>
      <c r="D181" s="401" t="s">
        <v>540</v>
      </c>
      <c r="E181" s="406">
        <f t="shared" si="2"/>
        <v>180</v>
      </c>
      <c r="F181" s="406"/>
      <c r="G181" s="407"/>
      <c r="H181" s="407"/>
      <c r="I181" s="407"/>
      <c r="J181" s="407"/>
      <c r="K181" s="407"/>
      <c r="L181" s="407"/>
      <c r="M181" s="407"/>
      <c r="N181" s="407"/>
      <c r="O181" s="407"/>
      <c r="P181" s="373"/>
      <c r="Q181" s="374"/>
      <c r="R181" s="407"/>
      <c r="S181" s="407"/>
      <c r="T181" s="407"/>
      <c r="U181" s="407"/>
    </row>
    <row r="182" spans="1:21" x14ac:dyDescent="0.35">
      <c r="A182" s="408"/>
      <c r="B182" s="376" t="s">
        <v>548</v>
      </c>
      <c r="C182" s="393" t="s">
        <v>360</v>
      </c>
      <c r="D182" s="401" t="s">
        <v>542</v>
      </c>
      <c r="E182" s="406">
        <f t="shared" si="2"/>
        <v>181</v>
      </c>
      <c r="F182" s="406"/>
      <c r="G182" s="407"/>
      <c r="H182" s="407"/>
      <c r="I182" s="407"/>
      <c r="J182" s="407"/>
      <c r="K182" s="407"/>
      <c r="L182" s="407"/>
      <c r="M182" s="407"/>
      <c r="N182" s="407"/>
      <c r="O182" s="407"/>
      <c r="P182" s="373"/>
      <c r="Q182" s="374"/>
      <c r="R182" s="407"/>
      <c r="S182" s="407"/>
      <c r="T182" s="407"/>
      <c r="U182" s="407"/>
    </row>
    <row r="183" spans="1:21" x14ac:dyDescent="0.35">
      <c r="A183" s="408"/>
      <c r="B183" s="376" t="s">
        <v>549</v>
      </c>
      <c r="C183" s="393" t="s">
        <v>360</v>
      </c>
      <c r="D183" s="401" t="s">
        <v>544</v>
      </c>
      <c r="E183" s="406">
        <f t="shared" si="2"/>
        <v>182</v>
      </c>
      <c r="F183" s="406"/>
      <c r="G183" s="407"/>
      <c r="H183" s="407"/>
      <c r="I183" s="407"/>
      <c r="J183" s="407"/>
      <c r="K183" s="407"/>
      <c r="L183" s="407"/>
      <c r="M183" s="407"/>
      <c r="N183" s="407"/>
      <c r="O183" s="407"/>
      <c r="P183" s="373"/>
      <c r="Q183" s="374"/>
      <c r="R183" s="407"/>
      <c r="S183" s="407"/>
      <c r="T183" s="407"/>
      <c r="U183" s="407"/>
    </row>
    <row r="184" spans="1:21" x14ac:dyDescent="0.35">
      <c r="A184" s="408"/>
      <c r="B184" s="376" t="s">
        <v>550</v>
      </c>
      <c r="C184" s="393" t="s">
        <v>360</v>
      </c>
      <c r="D184" s="401" t="s">
        <v>546</v>
      </c>
      <c r="E184" s="406">
        <f t="shared" si="2"/>
        <v>183</v>
      </c>
      <c r="F184" s="406"/>
      <c r="G184" s="407"/>
      <c r="H184" s="407"/>
      <c r="I184" s="407"/>
      <c r="J184" s="407"/>
      <c r="K184" s="407"/>
      <c r="L184" s="407"/>
      <c r="M184" s="407"/>
      <c r="N184" s="407"/>
      <c r="O184" s="407"/>
      <c r="P184" s="373"/>
      <c r="Q184" s="374"/>
      <c r="R184" s="407"/>
      <c r="S184" s="407"/>
      <c r="T184" s="407"/>
      <c r="U184" s="407"/>
    </row>
    <row r="185" spans="1:21" ht="28" x14ac:dyDescent="0.35">
      <c r="A185" s="408"/>
      <c r="B185" s="376" t="s">
        <v>551</v>
      </c>
      <c r="C185" s="393" t="s">
        <v>360</v>
      </c>
      <c r="D185" s="401" t="s">
        <v>552</v>
      </c>
      <c r="E185" s="406">
        <f t="shared" si="2"/>
        <v>184</v>
      </c>
      <c r="F185" s="406"/>
      <c r="G185" s="407"/>
      <c r="H185" s="407"/>
      <c r="I185" s="407"/>
      <c r="J185" s="407"/>
      <c r="K185" s="407"/>
      <c r="L185" s="407"/>
      <c r="M185" s="407"/>
      <c r="N185" s="407"/>
      <c r="O185" s="407"/>
      <c r="P185" s="373"/>
      <c r="Q185" s="374"/>
      <c r="R185" s="407"/>
      <c r="S185" s="407"/>
      <c r="T185" s="407"/>
      <c r="U185" s="407"/>
    </row>
    <row r="186" spans="1:21" ht="28" x14ac:dyDescent="0.35">
      <c r="A186" s="408"/>
      <c r="B186" s="376" t="s">
        <v>553</v>
      </c>
      <c r="C186" s="393" t="s">
        <v>360</v>
      </c>
      <c r="D186" s="401" t="s">
        <v>554</v>
      </c>
      <c r="E186" s="406">
        <f t="shared" si="2"/>
        <v>185</v>
      </c>
      <c r="F186" s="406"/>
      <c r="G186" s="407"/>
      <c r="H186" s="407"/>
      <c r="I186" s="407"/>
      <c r="J186" s="407"/>
      <c r="K186" s="407"/>
      <c r="L186" s="407"/>
      <c r="M186" s="407"/>
      <c r="N186" s="407"/>
      <c r="O186" s="407"/>
      <c r="P186" s="373"/>
      <c r="Q186" s="374"/>
      <c r="R186" s="407"/>
      <c r="S186" s="407"/>
      <c r="T186" s="407"/>
      <c r="U186" s="407"/>
    </row>
    <row r="187" spans="1:21" ht="28" x14ac:dyDescent="0.35">
      <c r="A187" s="408"/>
      <c r="B187" s="376" t="s">
        <v>555</v>
      </c>
      <c r="C187" s="393" t="s">
        <v>360</v>
      </c>
      <c r="D187" s="401" t="s">
        <v>1499</v>
      </c>
      <c r="E187" s="406">
        <f t="shared" si="2"/>
        <v>186</v>
      </c>
      <c r="F187" s="406"/>
      <c r="G187" s="407"/>
      <c r="H187" s="407"/>
      <c r="I187" s="407"/>
      <c r="J187" s="407"/>
      <c r="K187" s="407"/>
      <c r="L187" s="407"/>
      <c r="M187" s="407"/>
      <c r="N187" s="407"/>
      <c r="O187" s="407"/>
      <c r="P187" s="373"/>
      <c r="Q187" s="374"/>
      <c r="R187" s="407"/>
      <c r="S187" s="407"/>
      <c r="T187" s="407"/>
      <c r="U187" s="407"/>
    </row>
    <row r="188" spans="1:21" ht="28" x14ac:dyDescent="0.35">
      <c r="A188" s="408"/>
      <c r="B188" s="376" t="s">
        <v>556</v>
      </c>
      <c r="C188" s="393" t="s">
        <v>360</v>
      </c>
      <c r="D188" s="401" t="s">
        <v>557</v>
      </c>
      <c r="E188" s="406">
        <f t="shared" si="2"/>
        <v>187</v>
      </c>
      <c r="F188" s="406"/>
      <c r="G188" s="407"/>
      <c r="H188" s="407"/>
      <c r="I188" s="407"/>
      <c r="J188" s="407"/>
      <c r="K188" s="407"/>
      <c r="L188" s="407"/>
      <c r="M188" s="407"/>
      <c r="N188" s="407"/>
      <c r="O188" s="407"/>
      <c r="P188" s="373"/>
      <c r="Q188" s="374"/>
      <c r="R188" s="407"/>
      <c r="S188" s="407"/>
      <c r="T188" s="407"/>
      <c r="U188" s="407"/>
    </row>
    <row r="189" spans="1:21" ht="28" x14ac:dyDescent="0.35">
      <c r="A189" s="408"/>
      <c r="B189" s="376" t="s">
        <v>558</v>
      </c>
      <c r="C189" s="393" t="s">
        <v>360</v>
      </c>
      <c r="D189" s="401" t="s">
        <v>559</v>
      </c>
      <c r="E189" s="406">
        <f t="shared" si="2"/>
        <v>188</v>
      </c>
      <c r="F189" s="406"/>
      <c r="G189" s="407"/>
      <c r="H189" s="407"/>
      <c r="I189" s="407"/>
      <c r="J189" s="407"/>
      <c r="K189" s="407"/>
      <c r="L189" s="407"/>
      <c r="M189" s="407"/>
      <c r="N189" s="407"/>
      <c r="O189" s="407"/>
      <c r="P189" s="373"/>
      <c r="Q189" s="374"/>
      <c r="R189" s="407"/>
      <c r="S189" s="407"/>
      <c r="T189" s="407"/>
      <c r="U189" s="407"/>
    </row>
    <row r="190" spans="1:21" x14ac:dyDescent="0.35">
      <c r="A190" s="408"/>
      <c r="B190" s="376" t="s">
        <v>560</v>
      </c>
      <c r="C190" s="393" t="s">
        <v>360</v>
      </c>
      <c r="D190" s="401" t="s">
        <v>561</v>
      </c>
      <c r="E190" s="406">
        <f t="shared" si="2"/>
        <v>189</v>
      </c>
      <c r="F190" s="406"/>
      <c r="G190" s="407"/>
      <c r="H190" s="407"/>
      <c r="I190" s="407"/>
      <c r="J190" s="407"/>
      <c r="K190" s="407"/>
      <c r="L190" s="407"/>
      <c r="M190" s="407"/>
      <c r="N190" s="407"/>
      <c r="O190" s="407"/>
      <c r="P190" s="373"/>
      <c r="Q190" s="374"/>
      <c r="R190" s="407"/>
      <c r="S190" s="407"/>
      <c r="T190" s="407"/>
      <c r="U190" s="407"/>
    </row>
    <row r="191" spans="1:21" ht="28" x14ac:dyDescent="0.35">
      <c r="A191" s="408"/>
      <c r="B191" s="376" t="s">
        <v>562</v>
      </c>
      <c r="C191" s="393" t="s">
        <v>360</v>
      </c>
      <c r="D191" s="401" t="s">
        <v>563</v>
      </c>
      <c r="E191" s="406">
        <f t="shared" si="2"/>
        <v>190</v>
      </c>
      <c r="F191" s="406"/>
      <c r="G191" s="407"/>
      <c r="H191" s="407"/>
      <c r="I191" s="407"/>
      <c r="J191" s="407"/>
      <c r="K191" s="407"/>
      <c r="L191" s="407"/>
      <c r="M191" s="407"/>
      <c r="N191" s="407"/>
      <c r="O191" s="407"/>
      <c r="P191" s="373"/>
      <c r="Q191" s="374"/>
      <c r="R191" s="407"/>
      <c r="S191" s="407"/>
      <c r="T191" s="407"/>
      <c r="U191" s="407"/>
    </row>
    <row r="192" spans="1:21" ht="28" x14ac:dyDescent="0.35">
      <c r="A192" s="408"/>
      <c r="B192" s="376" t="s">
        <v>564</v>
      </c>
      <c r="C192" s="393" t="s">
        <v>360</v>
      </c>
      <c r="D192" s="401" t="s">
        <v>565</v>
      </c>
      <c r="E192" s="406">
        <f t="shared" si="2"/>
        <v>191</v>
      </c>
      <c r="F192" s="406"/>
      <c r="G192" s="407"/>
      <c r="H192" s="407"/>
      <c r="I192" s="407"/>
      <c r="J192" s="407"/>
      <c r="K192" s="407"/>
      <c r="L192" s="407"/>
      <c r="M192" s="407"/>
      <c r="N192" s="407"/>
      <c r="O192" s="407"/>
      <c r="P192" s="373"/>
      <c r="Q192" s="374"/>
      <c r="R192" s="407"/>
      <c r="S192" s="407"/>
      <c r="T192" s="407"/>
      <c r="U192" s="407"/>
    </row>
    <row r="193" spans="1:21" x14ac:dyDescent="0.35">
      <c r="A193" s="408"/>
      <c r="B193" s="376" t="s">
        <v>566</v>
      </c>
      <c r="C193" s="393" t="s">
        <v>360</v>
      </c>
      <c r="D193" s="401" t="s">
        <v>540</v>
      </c>
      <c r="E193" s="406">
        <f t="shared" ref="E193:E220" si="3">E192+1</f>
        <v>192</v>
      </c>
      <c r="F193" s="406"/>
      <c r="G193" s="407"/>
      <c r="H193" s="407"/>
      <c r="I193" s="407"/>
      <c r="J193" s="407"/>
      <c r="K193" s="407"/>
      <c r="L193" s="407"/>
      <c r="M193" s="407"/>
      <c r="N193" s="407"/>
      <c r="O193" s="407"/>
      <c r="P193" s="373"/>
      <c r="Q193" s="374"/>
      <c r="R193" s="407"/>
      <c r="S193" s="407"/>
      <c r="T193" s="407"/>
      <c r="U193" s="407"/>
    </row>
    <row r="194" spans="1:21" x14ac:dyDescent="0.35">
      <c r="A194" s="408"/>
      <c r="B194" s="376" t="s">
        <v>567</v>
      </c>
      <c r="C194" s="393" t="s">
        <v>360</v>
      </c>
      <c r="D194" s="401" t="s">
        <v>542</v>
      </c>
      <c r="E194" s="406">
        <f t="shared" si="3"/>
        <v>193</v>
      </c>
      <c r="F194" s="406"/>
      <c r="G194" s="407"/>
      <c r="H194" s="407"/>
      <c r="I194" s="407"/>
      <c r="J194" s="407"/>
      <c r="K194" s="407"/>
      <c r="L194" s="407"/>
      <c r="M194" s="407"/>
      <c r="N194" s="407"/>
      <c r="O194" s="407"/>
      <c r="P194" s="373"/>
      <c r="Q194" s="374"/>
      <c r="R194" s="407"/>
      <c r="S194" s="407"/>
      <c r="T194" s="407"/>
      <c r="U194" s="407"/>
    </row>
    <row r="195" spans="1:21" ht="28" x14ac:dyDescent="0.35">
      <c r="A195" s="408"/>
      <c r="B195" s="376" t="s">
        <v>568</v>
      </c>
      <c r="C195" s="393" t="s">
        <v>360</v>
      </c>
      <c r="D195" s="401" t="s">
        <v>1500</v>
      </c>
      <c r="E195" s="406">
        <f t="shared" si="3"/>
        <v>194</v>
      </c>
      <c r="F195" s="406"/>
      <c r="G195" s="407"/>
      <c r="H195" s="407"/>
      <c r="I195" s="407"/>
      <c r="J195" s="407"/>
      <c r="K195" s="407"/>
      <c r="L195" s="407"/>
      <c r="M195" s="407"/>
      <c r="N195" s="407"/>
      <c r="O195" s="407"/>
      <c r="P195" s="373"/>
      <c r="Q195" s="374"/>
      <c r="R195" s="407"/>
      <c r="S195" s="407"/>
      <c r="T195" s="407"/>
      <c r="U195" s="407"/>
    </row>
    <row r="196" spans="1:21" ht="28" x14ac:dyDescent="0.35">
      <c r="A196" s="408"/>
      <c r="B196" s="376" t="s">
        <v>569</v>
      </c>
      <c r="C196" s="393" t="s">
        <v>360</v>
      </c>
      <c r="D196" s="401" t="s">
        <v>570</v>
      </c>
      <c r="E196" s="406">
        <f t="shared" si="3"/>
        <v>195</v>
      </c>
      <c r="F196" s="406"/>
      <c r="G196" s="407"/>
      <c r="H196" s="407"/>
      <c r="I196" s="407"/>
      <c r="J196" s="407"/>
      <c r="K196" s="407"/>
      <c r="L196" s="407"/>
      <c r="M196" s="407"/>
      <c r="N196" s="407"/>
      <c r="O196" s="407"/>
      <c r="P196" s="373"/>
      <c r="Q196" s="374"/>
      <c r="R196" s="407"/>
      <c r="S196" s="407"/>
      <c r="T196" s="407"/>
      <c r="U196" s="407"/>
    </row>
    <row r="197" spans="1:21" x14ac:dyDescent="0.35">
      <c r="A197" s="408"/>
      <c r="B197" s="376" t="s">
        <v>571</v>
      </c>
      <c r="C197" s="393" t="s">
        <v>360</v>
      </c>
      <c r="D197" s="401" t="s">
        <v>544</v>
      </c>
      <c r="E197" s="406">
        <f t="shared" si="3"/>
        <v>196</v>
      </c>
      <c r="F197" s="406"/>
      <c r="G197" s="407"/>
      <c r="H197" s="407"/>
      <c r="I197" s="407"/>
      <c r="J197" s="407"/>
      <c r="K197" s="407"/>
      <c r="L197" s="407"/>
      <c r="M197" s="407"/>
      <c r="N197" s="407"/>
      <c r="O197" s="407"/>
      <c r="P197" s="373"/>
      <c r="Q197" s="374"/>
      <c r="R197" s="407"/>
      <c r="S197" s="407"/>
      <c r="T197" s="407"/>
      <c r="U197" s="407"/>
    </row>
    <row r="198" spans="1:21" ht="28" x14ac:dyDescent="0.35">
      <c r="A198" s="408"/>
      <c r="B198" s="376" t="s">
        <v>572</v>
      </c>
      <c r="C198" s="393" t="s">
        <v>360</v>
      </c>
      <c r="D198" s="401" t="s">
        <v>573</v>
      </c>
      <c r="E198" s="406">
        <f t="shared" si="3"/>
        <v>197</v>
      </c>
      <c r="F198" s="406"/>
      <c r="G198" s="407"/>
      <c r="H198" s="407"/>
      <c r="I198" s="407"/>
      <c r="J198" s="407"/>
      <c r="K198" s="407"/>
      <c r="L198" s="407"/>
      <c r="M198" s="407"/>
      <c r="N198" s="407"/>
      <c r="O198" s="407"/>
      <c r="P198" s="373"/>
      <c r="Q198" s="374"/>
      <c r="R198" s="407"/>
      <c r="S198" s="407"/>
      <c r="T198" s="407"/>
      <c r="U198" s="407"/>
    </row>
    <row r="199" spans="1:21" ht="28" x14ac:dyDescent="0.35">
      <c r="A199" s="408"/>
      <c r="B199" s="376" t="s">
        <v>574</v>
      </c>
      <c r="C199" s="393" t="s">
        <v>360</v>
      </c>
      <c r="D199" s="401" t="s">
        <v>575</v>
      </c>
      <c r="E199" s="406">
        <f t="shared" si="3"/>
        <v>198</v>
      </c>
      <c r="F199" s="406"/>
      <c r="G199" s="407"/>
      <c r="H199" s="407"/>
      <c r="I199" s="407"/>
      <c r="J199" s="407"/>
      <c r="K199" s="407"/>
      <c r="L199" s="407"/>
      <c r="M199" s="407"/>
      <c r="N199" s="407"/>
      <c r="O199" s="407"/>
      <c r="P199" s="373"/>
      <c r="Q199" s="374"/>
      <c r="R199" s="407"/>
      <c r="S199" s="407"/>
      <c r="T199" s="407"/>
      <c r="U199" s="407"/>
    </row>
    <row r="200" spans="1:21" ht="28" x14ac:dyDescent="0.35">
      <c r="A200" s="408"/>
      <c r="B200" s="376" t="s">
        <v>576</v>
      </c>
      <c r="C200" s="393" t="s">
        <v>360</v>
      </c>
      <c r="D200" s="401" t="s">
        <v>577</v>
      </c>
      <c r="E200" s="406">
        <f t="shared" si="3"/>
        <v>199</v>
      </c>
      <c r="F200" s="406"/>
      <c r="G200" s="407"/>
      <c r="H200" s="407"/>
      <c r="I200" s="407"/>
      <c r="J200" s="407"/>
      <c r="K200" s="407"/>
      <c r="L200" s="407"/>
      <c r="M200" s="407"/>
      <c r="N200" s="407"/>
      <c r="O200" s="407"/>
      <c r="P200" s="373"/>
      <c r="Q200" s="374"/>
      <c r="R200" s="407"/>
      <c r="S200" s="407"/>
      <c r="T200" s="407"/>
      <c r="U200" s="407"/>
    </row>
    <row r="201" spans="1:21" x14ac:dyDescent="0.35">
      <c r="A201" s="408"/>
      <c r="B201" s="376" t="s">
        <v>578</v>
      </c>
      <c r="C201" s="393" t="s">
        <v>360</v>
      </c>
      <c r="D201" s="401" t="s">
        <v>579</v>
      </c>
      <c r="E201" s="406">
        <f t="shared" si="3"/>
        <v>200</v>
      </c>
      <c r="F201" s="406"/>
      <c r="G201" s="407"/>
      <c r="H201" s="407"/>
      <c r="I201" s="407"/>
      <c r="J201" s="407"/>
      <c r="K201" s="407"/>
      <c r="L201" s="407"/>
      <c r="M201" s="407"/>
      <c r="N201" s="407"/>
      <c r="O201" s="407"/>
      <c r="P201" s="373"/>
      <c r="Q201" s="374"/>
      <c r="R201" s="407"/>
      <c r="S201" s="407"/>
      <c r="T201" s="407"/>
      <c r="U201" s="407"/>
    </row>
    <row r="202" spans="1:21" x14ac:dyDescent="0.35">
      <c r="A202" s="408"/>
      <c r="B202" s="376" t="s">
        <v>580</v>
      </c>
      <c r="C202" s="393" t="s">
        <v>360</v>
      </c>
      <c r="D202" s="401" t="s">
        <v>546</v>
      </c>
      <c r="E202" s="406">
        <f t="shared" si="3"/>
        <v>201</v>
      </c>
      <c r="F202" s="406"/>
      <c r="G202" s="407"/>
      <c r="H202" s="407"/>
      <c r="I202" s="407"/>
      <c r="J202" s="407"/>
      <c r="K202" s="407"/>
      <c r="L202" s="407"/>
      <c r="M202" s="407"/>
      <c r="N202" s="407"/>
      <c r="O202" s="407"/>
      <c r="P202" s="373"/>
      <c r="Q202" s="374"/>
      <c r="R202" s="407"/>
      <c r="S202" s="407"/>
      <c r="T202" s="407"/>
      <c r="U202" s="407"/>
    </row>
    <row r="203" spans="1:21" ht="28" x14ac:dyDescent="0.35">
      <c r="A203" s="408"/>
      <c r="B203" s="376" t="s">
        <v>581</v>
      </c>
      <c r="C203" s="393" t="s">
        <v>360</v>
      </c>
      <c r="D203" s="401" t="s">
        <v>582</v>
      </c>
      <c r="E203" s="406">
        <f t="shared" si="3"/>
        <v>202</v>
      </c>
      <c r="F203" s="406"/>
      <c r="G203" s="407"/>
      <c r="H203" s="407"/>
      <c r="I203" s="407"/>
      <c r="J203" s="407"/>
      <c r="K203" s="407"/>
      <c r="L203" s="407"/>
      <c r="M203" s="407"/>
      <c r="N203" s="407"/>
      <c r="O203" s="407"/>
      <c r="P203" s="373"/>
      <c r="Q203" s="374"/>
      <c r="R203" s="407"/>
      <c r="S203" s="407"/>
      <c r="T203" s="407"/>
      <c r="U203" s="407"/>
    </row>
    <row r="204" spans="1:21" ht="28" x14ac:dyDescent="0.35">
      <c r="A204" s="408"/>
      <c r="B204" s="376" t="s">
        <v>583</v>
      </c>
      <c r="C204" s="393" t="s">
        <v>360</v>
      </c>
      <c r="D204" s="401" t="s">
        <v>584</v>
      </c>
      <c r="E204" s="406">
        <f t="shared" si="3"/>
        <v>203</v>
      </c>
      <c r="F204" s="406"/>
      <c r="G204" s="407"/>
      <c r="H204" s="407"/>
      <c r="I204" s="407"/>
      <c r="J204" s="407"/>
      <c r="K204" s="407"/>
      <c r="L204" s="407"/>
      <c r="M204" s="407"/>
      <c r="N204" s="407"/>
      <c r="O204" s="407"/>
      <c r="P204" s="373"/>
      <c r="Q204" s="374"/>
      <c r="R204" s="407"/>
      <c r="S204" s="407"/>
      <c r="T204" s="407"/>
      <c r="U204" s="407"/>
    </row>
    <row r="205" spans="1:21" ht="28" x14ac:dyDescent="0.35">
      <c r="A205" s="408"/>
      <c r="B205" s="376" t="s">
        <v>585</v>
      </c>
      <c r="C205" s="393" t="s">
        <v>360</v>
      </c>
      <c r="D205" s="401" t="s">
        <v>586</v>
      </c>
      <c r="E205" s="406">
        <f t="shared" si="3"/>
        <v>204</v>
      </c>
      <c r="F205" s="406"/>
      <c r="G205" s="407"/>
      <c r="H205" s="407"/>
      <c r="I205" s="407"/>
      <c r="J205" s="407"/>
      <c r="K205" s="407"/>
      <c r="L205" s="407"/>
      <c r="M205" s="407"/>
      <c r="N205" s="407"/>
      <c r="O205" s="407"/>
      <c r="P205" s="373"/>
      <c r="Q205" s="374"/>
      <c r="R205" s="407"/>
      <c r="S205" s="407"/>
      <c r="T205" s="407"/>
      <c r="U205" s="407"/>
    </row>
    <row r="206" spans="1:21" x14ac:dyDescent="0.35">
      <c r="A206" s="408"/>
      <c r="B206" s="376" t="s">
        <v>587</v>
      </c>
      <c r="C206" s="393" t="s">
        <v>360</v>
      </c>
      <c r="D206" s="401" t="s">
        <v>588</v>
      </c>
      <c r="E206" s="406">
        <f t="shared" si="3"/>
        <v>205</v>
      </c>
      <c r="F206" s="406"/>
      <c r="G206" s="407"/>
      <c r="H206" s="407"/>
      <c r="I206" s="407"/>
      <c r="J206" s="407"/>
      <c r="K206" s="407"/>
      <c r="L206" s="407"/>
      <c r="M206" s="407"/>
      <c r="N206" s="407"/>
      <c r="O206" s="407"/>
      <c r="P206" s="373"/>
      <c r="Q206" s="374"/>
      <c r="R206" s="407"/>
      <c r="S206" s="407"/>
      <c r="T206" s="407"/>
      <c r="U206" s="407"/>
    </row>
    <row r="207" spans="1:21" ht="28" x14ac:dyDescent="0.35">
      <c r="A207" s="408"/>
      <c r="B207" s="376" t="s">
        <v>589</v>
      </c>
      <c r="C207" s="393" t="s">
        <v>360</v>
      </c>
      <c r="D207" s="401" t="s">
        <v>590</v>
      </c>
      <c r="E207" s="406">
        <f t="shared" si="3"/>
        <v>206</v>
      </c>
      <c r="F207" s="406"/>
      <c r="G207" s="407"/>
      <c r="H207" s="407"/>
      <c r="I207" s="407"/>
      <c r="J207" s="407"/>
      <c r="K207" s="407"/>
      <c r="L207" s="407"/>
      <c r="M207" s="407"/>
      <c r="N207" s="407"/>
      <c r="O207" s="407"/>
      <c r="P207" s="373"/>
      <c r="Q207" s="374"/>
      <c r="R207" s="407"/>
      <c r="S207" s="407"/>
      <c r="T207" s="407"/>
      <c r="U207" s="407"/>
    </row>
    <row r="208" spans="1:21" ht="28" x14ac:dyDescent="0.35">
      <c r="A208" s="408"/>
      <c r="B208" s="376" t="s">
        <v>591</v>
      </c>
      <c r="C208" s="393" t="s">
        <v>360</v>
      </c>
      <c r="D208" s="401" t="s">
        <v>592</v>
      </c>
      <c r="E208" s="406">
        <f t="shared" si="3"/>
        <v>207</v>
      </c>
      <c r="F208" s="406"/>
      <c r="G208" s="407"/>
      <c r="H208" s="407"/>
      <c r="I208" s="407"/>
      <c r="J208" s="407"/>
      <c r="K208" s="407"/>
      <c r="L208" s="407"/>
      <c r="M208" s="407"/>
      <c r="N208" s="407"/>
      <c r="O208" s="407"/>
      <c r="P208" s="373"/>
      <c r="Q208" s="374"/>
      <c r="R208" s="407"/>
      <c r="S208" s="407"/>
      <c r="T208" s="407"/>
      <c r="U208" s="407"/>
    </row>
    <row r="209" spans="1:21" ht="28" x14ac:dyDescent="0.35">
      <c r="A209" s="408"/>
      <c r="B209" s="376" t="s">
        <v>593</v>
      </c>
      <c r="C209" s="393" t="s">
        <v>360</v>
      </c>
      <c r="D209" s="401" t="s">
        <v>594</v>
      </c>
      <c r="E209" s="406">
        <f t="shared" si="3"/>
        <v>208</v>
      </c>
      <c r="F209" s="406"/>
      <c r="G209" s="407"/>
      <c r="H209" s="407"/>
      <c r="I209" s="407"/>
      <c r="J209" s="407"/>
      <c r="K209" s="407"/>
      <c r="L209" s="407"/>
      <c r="M209" s="407"/>
      <c r="N209" s="407"/>
      <c r="O209" s="407"/>
      <c r="P209" s="373"/>
      <c r="Q209" s="374"/>
      <c r="R209" s="407"/>
      <c r="S209" s="407"/>
      <c r="T209" s="407"/>
      <c r="U209" s="407"/>
    </row>
    <row r="210" spans="1:21" ht="28" x14ac:dyDescent="0.35">
      <c r="A210" s="408"/>
      <c r="B210" s="376" t="s">
        <v>595</v>
      </c>
      <c r="C210" s="393" t="s">
        <v>360</v>
      </c>
      <c r="D210" s="401" t="s">
        <v>596</v>
      </c>
      <c r="E210" s="406">
        <f t="shared" si="3"/>
        <v>209</v>
      </c>
      <c r="F210" s="406"/>
      <c r="G210" s="407"/>
      <c r="H210" s="407"/>
      <c r="I210" s="407"/>
      <c r="J210" s="407"/>
      <c r="K210" s="407"/>
      <c r="L210" s="407"/>
      <c r="M210" s="407"/>
      <c r="N210" s="407"/>
      <c r="O210" s="407"/>
      <c r="P210" s="373"/>
      <c r="Q210" s="374"/>
      <c r="R210" s="407"/>
      <c r="S210" s="407"/>
      <c r="T210" s="407"/>
      <c r="U210" s="407"/>
    </row>
    <row r="211" spans="1:21" ht="28" x14ac:dyDescent="0.35">
      <c r="A211" s="408"/>
      <c r="B211" s="376" t="s">
        <v>597</v>
      </c>
      <c r="C211" s="393" t="s">
        <v>360</v>
      </c>
      <c r="D211" s="401" t="s">
        <v>598</v>
      </c>
      <c r="E211" s="406">
        <f t="shared" si="3"/>
        <v>210</v>
      </c>
      <c r="F211" s="406"/>
      <c r="G211" s="407"/>
      <c r="H211" s="407"/>
      <c r="I211" s="407"/>
      <c r="J211" s="407"/>
      <c r="K211" s="407"/>
      <c r="L211" s="407"/>
      <c r="M211" s="407"/>
      <c r="N211" s="407"/>
      <c r="O211" s="407"/>
      <c r="P211" s="373"/>
      <c r="Q211" s="374"/>
      <c r="R211" s="407"/>
      <c r="S211" s="407"/>
      <c r="T211" s="407"/>
      <c r="U211" s="407"/>
    </row>
    <row r="212" spans="1:21" ht="28" x14ac:dyDescent="0.35">
      <c r="A212" s="408"/>
      <c r="B212" s="376" t="s">
        <v>599</v>
      </c>
      <c r="C212" s="393" t="s">
        <v>360</v>
      </c>
      <c r="D212" s="401" t="s">
        <v>600</v>
      </c>
      <c r="E212" s="406">
        <f t="shared" si="3"/>
        <v>211</v>
      </c>
      <c r="F212" s="406"/>
      <c r="G212" s="407"/>
      <c r="H212" s="407"/>
      <c r="I212" s="407"/>
      <c r="J212" s="407"/>
      <c r="K212" s="407"/>
      <c r="L212" s="407"/>
      <c r="M212" s="407"/>
      <c r="N212" s="407"/>
      <c r="O212" s="407"/>
      <c r="P212" s="373"/>
      <c r="Q212" s="374"/>
      <c r="R212" s="407"/>
      <c r="S212" s="407"/>
      <c r="T212" s="407"/>
      <c r="U212" s="407"/>
    </row>
    <row r="213" spans="1:21" ht="28" x14ac:dyDescent="0.35">
      <c r="A213" s="408"/>
      <c r="B213" s="376" t="s">
        <v>601</v>
      </c>
      <c r="C213" s="393" t="s">
        <v>360</v>
      </c>
      <c r="D213" s="401" t="s">
        <v>602</v>
      </c>
      <c r="E213" s="406">
        <f t="shared" si="3"/>
        <v>212</v>
      </c>
      <c r="F213" s="406"/>
      <c r="G213" s="407"/>
      <c r="H213" s="407"/>
      <c r="I213" s="407"/>
      <c r="J213" s="407"/>
      <c r="K213" s="407"/>
      <c r="L213" s="407"/>
      <c r="M213" s="407"/>
      <c r="N213" s="407"/>
      <c r="O213" s="407"/>
      <c r="P213" s="373"/>
      <c r="Q213" s="374"/>
      <c r="R213" s="407"/>
      <c r="S213" s="407"/>
      <c r="T213" s="407"/>
      <c r="U213" s="407"/>
    </row>
    <row r="214" spans="1:21" ht="28" x14ac:dyDescent="0.35">
      <c r="A214" s="408"/>
      <c r="B214" s="376" t="s">
        <v>603</v>
      </c>
      <c r="C214" s="393" t="s">
        <v>360</v>
      </c>
      <c r="D214" s="401" t="s">
        <v>604</v>
      </c>
      <c r="E214" s="406">
        <f t="shared" si="3"/>
        <v>213</v>
      </c>
      <c r="F214" s="406"/>
      <c r="G214" s="407"/>
      <c r="H214" s="407"/>
      <c r="I214" s="407"/>
      <c r="J214" s="407"/>
      <c r="K214" s="407"/>
      <c r="L214" s="407"/>
      <c r="M214" s="407"/>
      <c r="N214" s="407"/>
      <c r="O214" s="407"/>
      <c r="P214" s="373"/>
      <c r="Q214" s="374"/>
      <c r="R214" s="407"/>
      <c r="S214" s="407"/>
      <c r="T214" s="407"/>
      <c r="U214" s="407"/>
    </row>
    <row r="215" spans="1:21" x14ac:dyDescent="0.35">
      <c r="A215" s="408"/>
      <c r="B215" s="376" t="s">
        <v>605</v>
      </c>
      <c r="C215" s="393" t="s">
        <v>360</v>
      </c>
      <c r="D215" s="401" t="s">
        <v>606</v>
      </c>
      <c r="E215" s="406">
        <f t="shared" si="3"/>
        <v>214</v>
      </c>
      <c r="F215" s="406"/>
      <c r="G215" s="407"/>
      <c r="H215" s="407"/>
      <c r="I215" s="407"/>
      <c r="J215" s="407"/>
      <c r="K215" s="407"/>
      <c r="L215" s="407"/>
      <c r="M215" s="407"/>
      <c r="N215" s="407"/>
      <c r="O215" s="407"/>
      <c r="P215" s="373"/>
      <c r="Q215" s="374"/>
      <c r="R215" s="407"/>
      <c r="S215" s="407"/>
      <c r="T215" s="407"/>
      <c r="U215" s="407"/>
    </row>
    <row r="216" spans="1:21" ht="28" x14ac:dyDescent="0.35">
      <c r="A216" s="408"/>
      <c r="B216" s="376" t="s">
        <v>607</v>
      </c>
      <c r="C216" s="393" t="s">
        <v>360</v>
      </c>
      <c r="D216" s="401" t="s">
        <v>608</v>
      </c>
      <c r="E216" s="406">
        <f t="shared" si="3"/>
        <v>215</v>
      </c>
      <c r="F216" s="406"/>
      <c r="G216" s="407"/>
      <c r="H216" s="407"/>
      <c r="I216" s="407"/>
      <c r="J216" s="407"/>
      <c r="K216" s="407"/>
      <c r="L216" s="407"/>
      <c r="M216" s="407"/>
      <c r="N216" s="407"/>
      <c r="O216" s="407"/>
      <c r="P216" s="373"/>
      <c r="Q216" s="374"/>
      <c r="R216" s="407"/>
      <c r="S216" s="407"/>
      <c r="T216" s="407"/>
      <c r="U216" s="407"/>
    </row>
    <row r="217" spans="1:21" ht="28" x14ac:dyDescent="0.35">
      <c r="A217" s="408"/>
      <c r="B217" s="376" t="s">
        <v>609</v>
      </c>
      <c r="C217" s="393" t="s">
        <v>360</v>
      </c>
      <c r="D217" s="401" t="s">
        <v>610</v>
      </c>
      <c r="E217" s="406">
        <f t="shared" si="3"/>
        <v>216</v>
      </c>
      <c r="F217" s="406"/>
      <c r="G217" s="407"/>
      <c r="H217" s="407"/>
      <c r="I217" s="407"/>
      <c r="J217" s="407"/>
      <c r="K217" s="407"/>
      <c r="L217" s="407"/>
      <c r="M217" s="407"/>
      <c r="N217" s="407"/>
      <c r="O217" s="407"/>
      <c r="P217" s="373"/>
      <c r="Q217" s="374"/>
      <c r="R217" s="407"/>
      <c r="S217" s="407"/>
      <c r="T217" s="407"/>
      <c r="U217" s="407"/>
    </row>
    <row r="218" spans="1:21" ht="28" x14ac:dyDescent="0.35">
      <c r="A218" s="408"/>
      <c r="B218" s="376" t="s">
        <v>611</v>
      </c>
      <c r="C218" s="393" t="s">
        <v>360</v>
      </c>
      <c r="D218" s="401" t="s">
        <v>612</v>
      </c>
      <c r="E218" s="406">
        <f t="shared" si="3"/>
        <v>217</v>
      </c>
      <c r="F218" s="406"/>
      <c r="G218" s="407"/>
      <c r="H218" s="407"/>
      <c r="I218" s="407"/>
      <c r="J218" s="407"/>
      <c r="K218" s="407"/>
      <c r="L218" s="407"/>
      <c r="M218" s="407"/>
      <c r="N218" s="407"/>
      <c r="O218" s="407"/>
      <c r="P218" s="373"/>
      <c r="Q218" s="374"/>
      <c r="R218" s="407"/>
      <c r="S218" s="407"/>
      <c r="T218" s="407"/>
      <c r="U218" s="407"/>
    </row>
    <row r="219" spans="1:21" ht="28" x14ac:dyDescent="0.35">
      <c r="A219" s="408"/>
      <c r="B219" s="376" t="s">
        <v>613</v>
      </c>
      <c r="C219" s="393" t="s">
        <v>360</v>
      </c>
      <c r="D219" s="401" t="s">
        <v>614</v>
      </c>
      <c r="E219" s="406">
        <f t="shared" si="3"/>
        <v>218</v>
      </c>
      <c r="F219" s="406"/>
      <c r="G219" s="407"/>
      <c r="H219" s="407"/>
      <c r="I219" s="407"/>
      <c r="J219" s="407"/>
      <c r="K219" s="407"/>
      <c r="L219" s="407"/>
      <c r="M219" s="407"/>
      <c r="N219" s="407"/>
      <c r="O219" s="407"/>
      <c r="P219" s="373"/>
      <c r="Q219" s="374"/>
      <c r="R219" s="407"/>
      <c r="S219" s="407"/>
      <c r="T219" s="407"/>
      <c r="U219" s="407"/>
    </row>
    <row r="220" spans="1:21" ht="28" x14ac:dyDescent="0.35">
      <c r="A220" s="408"/>
      <c r="B220" s="376" t="s">
        <v>615</v>
      </c>
      <c r="C220" s="393" t="s">
        <v>360</v>
      </c>
      <c r="D220" s="401" t="s">
        <v>616</v>
      </c>
      <c r="E220" s="406">
        <f t="shared" si="3"/>
        <v>219</v>
      </c>
      <c r="F220" s="406"/>
      <c r="G220" s="407"/>
      <c r="H220" s="407"/>
      <c r="I220" s="407"/>
      <c r="J220" s="407"/>
      <c r="K220" s="407"/>
      <c r="L220" s="407"/>
      <c r="M220" s="407"/>
      <c r="N220" s="407"/>
      <c r="O220" s="407"/>
      <c r="P220" s="373"/>
      <c r="Q220" s="374"/>
      <c r="R220" s="407"/>
      <c r="S220" s="407"/>
      <c r="T220" s="407"/>
      <c r="U220" s="407"/>
    </row>
    <row r="221" spans="1:21" ht="28" x14ac:dyDescent="0.35">
      <c r="A221" s="408"/>
      <c r="B221" s="376" t="s">
        <v>617</v>
      </c>
      <c r="C221" s="393" t="s">
        <v>360</v>
      </c>
      <c r="D221" s="401" t="s">
        <v>618</v>
      </c>
      <c r="E221" s="406">
        <f t="shared" ref="E221:E284" si="4">E220+1</f>
        <v>220</v>
      </c>
      <c r="F221" s="406"/>
      <c r="G221" s="407"/>
      <c r="H221" s="407"/>
      <c r="I221" s="407"/>
      <c r="J221" s="407"/>
      <c r="K221" s="407"/>
      <c r="L221" s="407"/>
      <c r="M221" s="407"/>
      <c r="N221" s="407"/>
      <c r="O221" s="407"/>
      <c r="P221" s="373"/>
      <c r="Q221" s="374"/>
      <c r="R221" s="407"/>
      <c r="S221" s="407"/>
      <c r="T221" s="407"/>
      <c r="U221" s="407"/>
    </row>
    <row r="222" spans="1:21" ht="28" x14ac:dyDescent="0.35">
      <c r="A222" s="408"/>
      <c r="B222" s="376" t="s">
        <v>619</v>
      </c>
      <c r="C222" s="393" t="s">
        <v>360</v>
      </c>
      <c r="D222" s="401" t="s">
        <v>1501</v>
      </c>
      <c r="E222" s="406">
        <f t="shared" si="4"/>
        <v>221</v>
      </c>
      <c r="F222" s="406"/>
      <c r="G222" s="407"/>
      <c r="H222" s="407"/>
      <c r="I222" s="407"/>
      <c r="J222" s="407"/>
      <c r="K222" s="407"/>
      <c r="L222" s="407"/>
      <c r="M222" s="407"/>
      <c r="N222" s="407"/>
      <c r="O222" s="407"/>
      <c r="P222" s="373"/>
      <c r="Q222" s="374"/>
      <c r="R222" s="407"/>
      <c r="S222" s="407"/>
      <c r="T222" s="407"/>
      <c r="U222" s="407"/>
    </row>
    <row r="223" spans="1:21" x14ac:dyDescent="0.35">
      <c r="A223" s="408"/>
      <c r="B223" s="376" t="s">
        <v>620</v>
      </c>
      <c r="C223" s="393" t="s">
        <v>360</v>
      </c>
      <c r="D223" s="401" t="s">
        <v>1502</v>
      </c>
      <c r="E223" s="406">
        <f t="shared" si="4"/>
        <v>222</v>
      </c>
      <c r="F223" s="406"/>
      <c r="G223" s="407"/>
      <c r="H223" s="407"/>
      <c r="I223" s="407"/>
      <c r="J223" s="407"/>
      <c r="K223" s="407"/>
      <c r="L223" s="407"/>
      <c r="M223" s="407"/>
      <c r="N223" s="407"/>
      <c r="O223" s="407"/>
      <c r="P223" s="373"/>
      <c r="Q223" s="374"/>
      <c r="R223" s="407"/>
      <c r="S223" s="407"/>
      <c r="T223" s="407"/>
      <c r="U223" s="407"/>
    </row>
    <row r="224" spans="1:21" ht="28" x14ac:dyDescent="0.35">
      <c r="A224" s="408"/>
      <c r="B224" s="376" t="s">
        <v>621</v>
      </c>
      <c r="C224" s="393" t="s">
        <v>360</v>
      </c>
      <c r="D224" s="401" t="s">
        <v>1503</v>
      </c>
      <c r="E224" s="406">
        <f t="shared" si="4"/>
        <v>223</v>
      </c>
      <c r="F224" s="406"/>
      <c r="G224" s="407"/>
      <c r="H224" s="407"/>
      <c r="I224" s="407"/>
      <c r="J224" s="407"/>
      <c r="K224" s="407"/>
      <c r="L224" s="407"/>
      <c r="M224" s="407"/>
      <c r="N224" s="407"/>
      <c r="O224" s="407"/>
      <c r="P224" s="373"/>
      <c r="Q224" s="374"/>
      <c r="R224" s="407"/>
      <c r="S224" s="407"/>
      <c r="T224" s="407"/>
      <c r="U224" s="407"/>
    </row>
    <row r="225" spans="1:21" ht="28" x14ac:dyDescent="0.35">
      <c r="A225" s="408"/>
      <c r="B225" s="376" t="s">
        <v>622</v>
      </c>
      <c r="C225" s="393" t="s">
        <v>360</v>
      </c>
      <c r="D225" s="401" t="s">
        <v>1504</v>
      </c>
      <c r="E225" s="406">
        <f t="shared" si="4"/>
        <v>224</v>
      </c>
      <c r="F225" s="406"/>
      <c r="G225" s="407"/>
      <c r="H225" s="407"/>
      <c r="I225" s="407"/>
      <c r="J225" s="407"/>
      <c r="K225" s="407"/>
      <c r="L225" s="407"/>
      <c r="M225" s="407"/>
      <c r="N225" s="407"/>
      <c r="O225" s="407"/>
      <c r="P225" s="373"/>
      <c r="Q225" s="374"/>
      <c r="R225" s="407"/>
      <c r="S225" s="407"/>
      <c r="T225" s="407"/>
      <c r="U225" s="407"/>
    </row>
    <row r="226" spans="1:21" ht="28" x14ac:dyDescent="0.35">
      <c r="A226" s="408"/>
      <c r="B226" s="376" t="s">
        <v>623</v>
      </c>
      <c r="C226" s="393" t="s">
        <v>360</v>
      </c>
      <c r="D226" s="401" t="s">
        <v>1505</v>
      </c>
      <c r="E226" s="406">
        <f t="shared" si="4"/>
        <v>225</v>
      </c>
      <c r="F226" s="406"/>
      <c r="G226" s="407"/>
      <c r="H226" s="407"/>
      <c r="I226" s="407"/>
      <c r="J226" s="407"/>
      <c r="K226" s="407"/>
      <c r="L226" s="407"/>
      <c r="M226" s="407"/>
      <c r="N226" s="407"/>
      <c r="O226" s="407"/>
      <c r="P226" s="373"/>
      <c r="Q226" s="374"/>
      <c r="R226" s="407"/>
      <c r="S226" s="407"/>
      <c r="T226" s="407"/>
      <c r="U226" s="407"/>
    </row>
    <row r="227" spans="1:21" x14ac:dyDescent="0.35">
      <c r="A227" s="408"/>
      <c r="B227" s="376" t="s">
        <v>624</v>
      </c>
      <c r="C227" s="393" t="s">
        <v>360</v>
      </c>
      <c r="D227" s="401" t="s">
        <v>540</v>
      </c>
      <c r="E227" s="406">
        <f t="shared" si="4"/>
        <v>226</v>
      </c>
      <c r="F227" s="406"/>
      <c r="G227" s="407"/>
      <c r="H227" s="407"/>
      <c r="I227" s="407"/>
      <c r="J227" s="407"/>
      <c r="K227" s="407"/>
      <c r="L227" s="407"/>
      <c r="M227" s="407"/>
      <c r="N227" s="407"/>
      <c r="O227" s="407"/>
      <c r="P227" s="373"/>
      <c r="Q227" s="374"/>
      <c r="R227" s="407"/>
      <c r="S227" s="407"/>
      <c r="T227" s="407"/>
      <c r="U227" s="407"/>
    </row>
    <row r="228" spans="1:21" x14ac:dyDescent="0.35">
      <c r="A228" s="408"/>
      <c r="B228" s="376" t="s">
        <v>625</v>
      </c>
      <c r="C228" s="393" t="s">
        <v>360</v>
      </c>
      <c r="D228" s="401" t="s">
        <v>542</v>
      </c>
      <c r="E228" s="406">
        <f t="shared" si="4"/>
        <v>227</v>
      </c>
      <c r="F228" s="406"/>
      <c r="G228" s="407"/>
      <c r="H228" s="407"/>
      <c r="I228" s="407"/>
      <c r="J228" s="407"/>
      <c r="K228" s="407"/>
      <c r="L228" s="407"/>
      <c r="M228" s="407"/>
      <c r="N228" s="407"/>
      <c r="O228" s="407"/>
      <c r="P228" s="373"/>
      <c r="Q228" s="374"/>
      <c r="R228" s="407"/>
      <c r="S228" s="407"/>
      <c r="T228" s="407"/>
      <c r="U228" s="407"/>
    </row>
    <row r="229" spans="1:21" x14ac:dyDescent="0.35">
      <c r="A229" s="408"/>
      <c r="B229" s="376" t="s">
        <v>626</v>
      </c>
      <c r="C229" s="393" t="s">
        <v>360</v>
      </c>
      <c r="D229" s="401" t="s">
        <v>544</v>
      </c>
      <c r="E229" s="406">
        <f t="shared" si="4"/>
        <v>228</v>
      </c>
      <c r="F229" s="406"/>
      <c r="G229" s="407"/>
      <c r="H229" s="407"/>
      <c r="I229" s="407"/>
      <c r="J229" s="407"/>
      <c r="K229" s="407"/>
      <c r="L229" s="407"/>
      <c r="M229" s="407"/>
      <c r="N229" s="407"/>
      <c r="O229" s="407"/>
      <c r="P229" s="373"/>
      <c r="Q229" s="374"/>
      <c r="R229" s="407"/>
      <c r="S229" s="407"/>
      <c r="T229" s="407"/>
      <c r="U229" s="407"/>
    </row>
    <row r="230" spans="1:21" x14ac:dyDescent="0.35">
      <c r="A230" s="408"/>
      <c r="B230" s="376" t="s">
        <v>627</v>
      </c>
      <c r="C230" s="393" t="s">
        <v>360</v>
      </c>
      <c r="D230" s="401" t="s">
        <v>546</v>
      </c>
      <c r="E230" s="406">
        <f t="shared" si="4"/>
        <v>229</v>
      </c>
      <c r="F230" s="406"/>
      <c r="G230" s="407"/>
      <c r="H230" s="407"/>
      <c r="I230" s="407"/>
      <c r="J230" s="407"/>
      <c r="K230" s="407"/>
      <c r="L230" s="407"/>
      <c r="M230" s="407"/>
      <c r="N230" s="407"/>
      <c r="O230" s="407"/>
      <c r="P230" s="373"/>
      <c r="Q230" s="374"/>
      <c r="R230" s="407"/>
      <c r="S230" s="407"/>
      <c r="T230" s="407"/>
      <c r="U230" s="407"/>
    </row>
    <row r="231" spans="1:21" x14ac:dyDescent="0.35">
      <c r="A231" s="408"/>
      <c r="B231" s="376" t="s">
        <v>628</v>
      </c>
      <c r="C231" s="393" t="s">
        <v>360</v>
      </c>
      <c r="D231" s="401" t="s">
        <v>540</v>
      </c>
      <c r="E231" s="406">
        <f t="shared" si="4"/>
        <v>230</v>
      </c>
      <c r="F231" s="406"/>
      <c r="G231" s="407"/>
      <c r="H231" s="407"/>
      <c r="I231" s="407"/>
      <c r="J231" s="407"/>
      <c r="K231" s="407"/>
      <c r="L231" s="407"/>
      <c r="M231" s="407"/>
      <c r="N231" s="407"/>
      <c r="O231" s="407"/>
      <c r="P231" s="373"/>
      <c r="Q231" s="374"/>
      <c r="R231" s="407"/>
      <c r="S231" s="407"/>
      <c r="T231" s="407"/>
      <c r="U231" s="407"/>
    </row>
    <row r="232" spans="1:21" x14ac:dyDescent="0.35">
      <c r="A232" s="408"/>
      <c r="B232" s="376" t="s">
        <v>629</v>
      </c>
      <c r="C232" s="393" t="s">
        <v>360</v>
      </c>
      <c r="D232" s="401" t="s">
        <v>542</v>
      </c>
      <c r="E232" s="406">
        <f t="shared" si="4"/>
        <v>231</v>
      </c>
      <c r="F232" s="406"/>
      <c r="G232" s="407"/>
      <c r="H232" s="407"/>
      <c r="I232" s="407"/>
      <c r="J232" s="407"/>
      <c r="K232" s="407"/>
      <c r="L232" s="407"/>
      <c r="M232" s="407"/>
      <c r="N232" s="407"/>
      <c r="O232" s="407"/>
      <c r="P232" s="373"/>
      <c r="Q232" s="374"/>
      <c r="R232" s="407"/>
      <c r="S232" s="407"/>
      <c r="T232" s="407"/>
      <c r="U232" s="407"/>
    </row>
    <row r="233" spans="1:21" x14ac:dyDescent="0.35">
      <c r="A233" s="408"/>
      <c r="B233" s="376" t="s">
        <v>630</v>
      </c>
      <c r="C233" s="393" t="s">
        <v>360</v>
      </c>
      <c r="D233" s="401" t="s">
        <v>544</v>
      </c>
      <c r="E233" s="406">
        <f t="shared" si="4"/>
        <v>232</v>
      </c>
      <c r="F233" s="406"/>
      <c r="G233" s="407"/>
      <c r="H233" s="407"/>
      <c r="I233" s="407"/>
      <c r="J233" s="407"/>
      <c r="K233" s="407"/>
      <c r="L233" s="407"/>
      <c r="M233" s="407"/>
      <c r="N233" s="407"/>
      <c r="O233" s="407"/>
      <c r="P233" s="373"/>
      <c r="Q233" s="374"/>
      <c r="R233" s="407"/>
      <c r="S233" s="407"/>
      <c r="T233" s="407"/>
      <c r="U233" s="407"/>
    </row>
    <row r="234" spans="1:21" x14ac:dyDescent="0.35">
      <c r="A234" s="408"/>
      <c r="B234" s="376" t="s">
        <v>631</v>
      </c>
      <c r="C234" s="393" t="s">
        <v>360</v>
      </c>
      <c r="D234" s="401" t="s">
        <v>546</v>
      </c>
      <c r="E234" s="406">
        <f t="shared" si="4"/>
        <v>233</v>
      </c>
      <c r="F234" s="406"/>
      <c r="G234" s="407"/>
      <c r="H234" s="407"/>
      <c r="I234" s="407"/>
      <c r="J234" s="407"/>
      <c r="K234" s="407"/>
      <c r="L234" s="407"/>
      <c r="M234" s="407"/>
      <c r="N234" s="407"/>
      <c r="O234" s="407"/>
      <c r="P234" s="373"/>
      <c r="Q234" s="374"/>
      <c r="R234" s="407"/>
      <c r="S234" s="407"/>
      <c r="T234" s="407"/>
      <c r="U234" s="407"/>
    </row>
    <row r="235" spans="1:21" x14ac:dyDescent="0.35">
      <c r="A235" s="408"/>
      <c r="B235" s="376" t="s">
        <v>632</v>
      </c>
      <c r="C235" s="393" t="s">
        <v>360</v>
      </c>
      <c r="D235" s="401" t="s">
        <v>540</v>
      </c>
      <c r="E235" s="406">
        <f t="shared" si="4"/>
        <v>234</v>
      </c>
      <c r="F235" s="406"/>
      <c r="G235" s="407"/>
      <c r="H235" s="407"/>
      <c r="I235" s="407"/>
      <c r="J235" s="407"/>
      <c r="K235" s="407"/>
      <c r="L235" s="407"/>
      <c r="M235" s="407"/>
      <c r="N235" s="407"/>
      <c r="O235" s="407"/>
      <c r="P235" s="373"/>
      <c r="Q235" s="374"/>
      <c r="R235" s="407"/>
      <c r="S235" s="407"/>
      <c r="T235" s="407"/>
      <c r="U235" s="407"/>
    </row>
    <row r="236" spans="1:21" x14ac:dyDescent="0.35">
      <c r="A236" s="408"/>
      <c r="B236" s="376" t="s">
        <v>633</v>
      </c>
      <c r="C236" s="393" t="s">
        <v>360</v>
      </c>
      <c r="D236" s="401" t="s">
        <v>542</v>
      </c>
      <c r="E236" s="406">
        <f t="shared" si="4"/>
        <v>235</v>
      </c>
      <c r="F236" s="406"/>
      <c r="G236" s="407"/>
      <c r="H236" s="407"/>
      <c r="I236" s="407"/>
      <c r="J236" s="407"/>
      <c r="K236" s="407"/>
      <c r="L236" s="407"/>
      <c r="M236" s="407"/>
      <c r="N236" s="407"/>
      <c r="O236" s="407"/>
      <c r="P236" s="373"/>
      <c r="Q236" s="374"/>
      <c r="R236" s="407"/>
      <c r="S236" s="407"/>
      <c r="T236" s="407"/>
      <c r="U236" s="407"/>
    </row>
    <row r="237" spans="1:21" x14ac:dyDescent="0.35">
      <c r="A237" s="408"/>
      <c r="B237" s="376" t="s">
        <v>634</v>
      </c>
      <c r="C237" s="393" t="s">
        <v>360</v>
      </c>
      <c r="D237" s="401" t="s">
        <v>544</v>
      </c>
      <c r="E237" s="406">
        <f t="shared" si="4"/>
        <v>236</v>
      </c>
      <c r="F237" s="406"/>
      <c r="G237" s="407"/>
      <c r="H237" s="407"/>
      <c r="I237" s="407"/>
      <c r="J237" s="407"/>
      <c r="K237" s="407"/>
      <c r="L237" s="407"/>
      <c r="M237" s="407"/>
      <c r="N237" s="407"/>
      <c r="O237" s="407"/>
      <c r="P237" s="373"/>
      <c r="Q237" s="374"/>
      <c r="R237" s="407"/>
      <c r="S237" s="407"/>
      <c r="T237" s="407"/>
      <c r="U237" s="407"/>
    </row>
    <row r="238" spans="1:21" x14ac:dyDescent="0.35">
      <c r="A238" s="408"/>
      <c r="B238" s="376" t="s">
        <v>635</v>
      </c>
      <c r="C238" s="393" t="s">
        <v>360</v>
      </c>
      <c r="D238" s="401" t="s">
        <v>546</v>
      </c>
      <c r="E238" s="406">
        <f t="shared" si="4"/>
        <v>237</v>
      </c>
      <c r="F238" s="406"/>
      <c r="G238" s="407"/>
      <c r="H238" s="407"/>
      <c r="I238" s="407"/>
      <c r="J238" s="407"/>
      <c r="K238" s="407"/>
      <c r="L238" s="407"/>
      <c r="M238" s="407"/>
      <c r="N238" s="407"/>
      <c r="O238" s="407"/>
      <c r="P238" s="373"/>
      <c r="Q238" s="374"/>
      <c r="R238" s="407"/>
      <c r="S238" s="407"/>
      <c r="T238" s="407"/>
      <c r="U238" s="407"/>
    </row>
    <row r="239" spans="1:21" x14ac:dyDescent="0.35">
      <c r="A239" s="408"/>
      <c r="B239" s="376" t="s">
        <v>636</v>
      </c>
      <c r="C239" s="393" t="s">
        <v>360</v>
      </c>
      <c r="D239" s="401" t="s">
        <v>540</v>
      </c>
      <c r="E239" s="406">
        <f t="shared" si="4"/>
        <v>238</v>
      </c>
      <c r="F239" s="406"/>
      <c r="G239" s="407"/>
      <c r="H239" s="407"/>
      <c r="I239" s="407"/>
      <c r="J239" s="407"/>
      <c r="K239" s="407"/>
      <c r="L239" s="407"/>
      <c r="M239" s="407"/>
      <c r="N239" s="407"/>
      <c r="O239" s="407"/>
      <c r="P239" s="373"/>
      <c r="Q239" s="374"/>
      <c r="R239" s="407"/>
      <c r="S239" s="407"/>
      <c r="T239" s="407"/>
      <c r="U239" s="407"/>
    </row>
    <row r="240" spans="1:21" x14ac:dyDescent="0.35">
      <c r="A240" s="408"/>
      <c r="B240" s="376" t="s">
        <v>637</v>
      </c>
      <c r="C240" s="393" t="s">
        <v>360</v>
      </c>
      <c r="D240" s="401" t="s">
        <v>542</v>
      </c>
      <c r="E240" s="406">
        <f t="shared" si="4"/>
        <v>239</v>
      </c>
      <c r="F240" s="406"/>
      <c r="G240" s="407"/>
      <c r="H240" s="407"/>
      <c r="I240" s="407"/>
      <c r="J240" s="407"/>
      <c r="K240" s="407"/>
      <c r="L240" s="407"/>
      <c r="M240" s="407"/>
      <c r="N240" s="407"/>
      <c r="O240" s="407"/>
      <c r="P240" s="373"/>
      <c r="Q240" s="374"/>
      <c r="R240" s="407"/>
      <c r="S240" s="407"/>
      <c r="T240" s="407"/>
      <c r="U240" s="407"/>
    </row>
    <row r="241" spans="1:21" x14ac:dyDescent="0.35">
      <c r="A241" s="408"/>
      <c r="B241" s="376" t="s">
        <v>638</v>
      </c>
      <c r="C241" s="393" t="s">
        <v>360</v>
      </c>
      <c r="D241" s="401" t="s">
        <v>544</v>
      </c>
      <c r="E241" s="406">
        <f t="shared" si="4"/>
        <v>240</v>
      </c>
      <c r="F241" s="406"/>
      <c r="G241" s="407"/>
      <c r="H241" s="407"/>
      <c r="I241" s="407"/>
      <c r="J241" s="407"/>
      <c r="K241" s="407"/>
      <c r="L241" s="407"/>
      <c r="M241" s="407"/>
      <c r="N241" s="407"/>
      <c r="O241" s="407"/>
      <c r="P241" s="373"/>
      <c r="Q241" s="374"/>
      <c r="R241" s="407"/>
      <c r="S241" s="407"/>
      <c r="T241" s="407"/>
      <c r="U241" s="407"/>
    </row>
    <row r="242" spans="1:21" x14ac:dyDescent="0.35">
      <c r="A242" s="408"/>
      <c r="B242" s="376" t="s">
        <v>639</v>
      </c>
      <c r="C242" s="393" t="s">
        <v>360</v>
      </c>
      <c r="D242" s="401" t="s">
        <v>546</v>
      </c>
      <c r="E242" s="406">
        <f t="shared" si="4"/>
        <v>241</v>
      </c>
      <c r="F242" s="406"/>
      <c r="G242" s="407"/>
      <c r="H242" s="407"/>
      <c r="I242" s="407"/>
      <c r="J242" s="407"/>
      <c r="K242" s="407"/>
      <c r="L242" s="407"/>
      <c r="M242" s="407"/>
      <c r="N242" s="407"/>
      <c r="O242" s="407"/>
      <c r="P242" s="373"/>
      <c r="Q242" s="374"/>
      <c r="R242" s="407"/>
      <c r="S242" s="407"/>
      <c r="T242" s="407"/>
      <c r="U242" s="407"/>
    </row>
    <row r="243" spans="1:21" x14ac:dyDescent="0.35">
      <c r="A243" s="408"/>
      <c r="B243" s="376" t="s">
        <v>640</v>
      </c>
      <c r="C243" s="393" t="s">
        <v>360</v>
      </c>
      <c r="D243" s="401" t="s">
        <v>540</v>
      </c>
      <c r="E243" s="406">
        <f t="shared" si="4"/>
        <v>242</v>
      </c>
      <c r="F243" s="406"/>
      <c r="G243" s="407"/>
      <c r="H243" s="407"/>
      <c r="I243" s="407"/>
      <c r="J243" s="407"/>
      <c r="K243" s="407"/>
      <c r="L243" s="407"/>
      <c r="M243" s="407"/>
      <c r="N243" s="407"/>
      <c r="O243" s="407"/>
      <c r="P243" s="417"/>
      <c r="Q243" s="417"/>
      <c r="R243" s="407"/>
      <c r="S243" s="407"/>
      <c r="T243" s="407"/>
      <c r="U243" s="407"/>
    </row>
    <row r="244" spans="1:21" x14ac:dyDescent="0.35">
      <c r="A244" s="408"/>
      <c r="B244" s="376" t="s">
        <v>641</v>
      </c>
      <c r="C244" s="393" t="s">
        <v>360</v>
      </c>
      <c r="D244" s="401" t="s">
        <v>542</v>
      </c>
      <c r="E244" s="406">
        <f t="shared" si="4"/>
        <v>243</v>
      </c>
      <c r="F244" s="406"/>
      <c r="G244" s="407"/>
      <c r="H244" s="407"/>
      <c r="I244" s="407"/>
      <c r="J244" s="407"/>
      <c r="K244" s="407"/>
      <c r="L244" s="407"/>
      <c r="M244" s="407"/>
      <c r="N244" s="407"/>
      <c r="O244" s="407"/>
      <c r="P244" s="417"/>
      <c r="Q244" s="417"/>
      <c r="R244" s="407"/>
      <c r="S244" s="407"/>
      <c r="T244" s="407"/>
      <c r="U244" s="407"/>
    </row>
    <row r="245" spans="1:21" x14ac:dyDescent="0.35">
      <c r="A245" s="408"/>
      <c r="B245" s="376" t="s">
        <v>642</v>
      </c>
      <c r="C245" s="393" t="s">
        <v>360</v>
      </c>
      <c r="D245" s="401" t="s">
        <v>544</v>
      </c>
      <c r="E245" s="406">
        <f t="shared" si="4"/>
        <v>244</v>
      </c>
      <c r="F245" s="406"/>
      <c r="G245" s="407"/>
      <c r="H245" s="407"/>
      <c r="I245" s="407"/>
      <c r="J245" s="407"/>
      <c r="K245" s="407"/>
      <c r="L245" s="407"/>
      <c r="M245" s="407"/>
      <c r="N245" s="407"/>
      <c r="O245" s="407"/>
      <c r="P245" s="417"/>
      <c r="Q245" s="417"/>
      <c r="R245" s="407"/>
      <c r="S245" s="407"/>
      <c r="T245" s="407"/>
      <c r="U245" s="407"/>
    </row>
    <row r="246" spans="1:21" x14ac:dyDescent="0.35">
      <c r="A246" s="408"/>
      <c r="B246" s="376" t="s">
        <v>643</v>
      </c>
      <c r="C246" s="393" t="s">
        <v>360</v>
      </c>
      <c r="D246" s="401" t="s">
        <v>546</v>
      </c>
      <c r="E246" s="406">
        <f t="shared" si="4"/>
        <v>245</v>
      </c>
      <c r="F246" s="406"/>
      <c r="G246" s="407"/>
      <c r="H246" s="407"/>
      <c r="I246" s="407"/>
      <c r="J246" s="407"/>
      <c r="K246" s="407"/>
      <c r="L246" s="407"/>
      <c r="M246" s="407"/>
      <c r="N246" s="407"/>
      <c r="O246" s="407"/>
      <c r="P246" s="417"/>
      <c r="Q246" s="417"/>
      <c r="R246" s="407"/>
      <c r="S246" s="407"/>
      <c r="T246" s="407"/>
      <c r="U246" s="407"/>
    </row>
    <row r="247" spans="1:21" ht="28" x14ac:dyDescent="0.35">
      <c r="A247" s="408"/>
      <c r="B247" s="376" t="s">
        <v>644</v>
      </c>
      <c r="C247" s="393" t="s">
        <v>402</v>
      </c>
      <c r="D247" s="401" t="s">
        <v>645</v>
      </c>
      <c r="E247" s="406">
        <f t="shared" si="4"/>
        <v>246</v>
      </c>
      <c r="F247" s="406"/>
      <c r="G247" s="407"/>
      <c r="H247" s="407"/>
      <c r="I247" s="407"/>
      <c r="J247" s="407"/>
      <c r="K247" s="407"/>
      <c r="L247" s="407"/>
      <c r="M247" s="407"/>
      <c r="N247" s="407"/>
      <c r="O247" s="407"/>
      <c r="P247" s="417"/>
      <c r="Q247" s="417"/>
      <c r="R247" s="407"/>
      <c r="S247" s="407"/>
      <c r="T247" s="407"/>
      <c r="U247" s="407"/>
    </row>
    <row r="248" spans="1:21" ht="28" x14ac:dyDescent="0.35">
      <c r="A248" s="408"/>
      <c r="B248" s="376" t="s">
        <v>646</v>
      </c>
      <c r="C248" s="393" t="s">
        <v>229</v>
      </c>
      <c r="D248" s="401" t="s">
        <v>647</v>
      </c>
      <c r="E248" s="406">
        <f t="shared" si="4"/>
        <v>247</v>
      </c>
      <c r="F248" s="406"/>
      <c r="G248" s="407"/>
      <c r="H248" s="407"/>
      <c r="I248" s="407"/>
      <c r="J248" s="407"/>
      <c r="K248" s="407"/>
      <c r="L248" s="407"/>
      <c r="M248" s="407"/>
      <c r="N248" s="407"/>
      <c r="O248" s="407"/>
      <c r="P248" s="417"/>
      <c r="Q248" s="417"/>
      <c r="R248" s="407"/>
      <c r="S248" s="407"/>
      <c r="T248" s="407"/>
      <c r="U248" s="407"/>
    </row>
    <row r="249" spans="1:21" x14ac:dyDescent="0.35">
      <c r="A249" s="408"/>
      <c r="B249" s="376" t="s">
        <v>648</v>
      </c>
      <c r="C249" s="393" t="s">
        <v>229</v>
      </c>
      <c r="D249" s="401" t="s">
        <v>1506</v>
      </c>
      <c r="E249" s="406">
        <f t="shared" si="4"/>
        <v>248</v>
      </c>
      <c r="F249" s="406"/>
      <c r="G249" s="407"/>
      <c r="H249" s="407"/>
      <c r="I249" s="407"/>
      <c r="J249" s="407"/>
      <c r="K249" s="407"/>
      <c r="L249" s="407"/>
      <c r="M249" s="407"/>
      <c r="N249" s="407"/>
      <c r="O249" s="407"/>
      <c r="P249" s="417"/>
      <c r="Q249" s="417"/>
      <c r="R249" s="407"/>
      <c r="S249" s="407"/>
      <c r="T249" s="407"/>
      <c r="U249" s="407"/>
    </row>
    <row r="250" spans="1:21" ht="28" x14ac:dyDescent="0.35">
      <c r="A250" s="408"/>
      <c r="B250" s="376" t="s">
        <v>649</v>
      </c>
      <c r="C250" s="393" t="s">
        <v>402</v>
      </c>
      <c r="D250" s="401" t="s">
        <v>645</v>
      </c>
      <c r="E250" s="406">
        <f t="shared" si="4"/>
        <v>249</v>
      </c>
      <c r="F250" s="406"/>
      <c r="G250" s="407"/>
      <c r="H250" s="407"/>
      <c r="I250" s="407"/>
      <c r="J250" s="407"/>
      <c r="K250" s="407"/>
      <c r="L250" s="407"/>
      <c r="M250" s="407"/>
      <c r="N250" s="407"/>
      <c r="O250" s="407"/>
      <c r="P250" s="417"/>
      <c r="Q250" s="417"/>
      <c r="R250" s="407"/>
      <c r="S250" s="407"/>
      <c r="T250" s="407"/>
      <c r="U250" s="407"/>
    </row>
    <row r="251" spans="1:21" ht="28" x14ac:dyDescent="0.35">
      <c r="A251" s="408"/>
      <c r="B251" s="376" t="s">
        <v>650</v>
      </c>
      <c r="C251" s="393" t="s">
        <v>229</v>
      </c>
      <c r="D251" s="401" t="s">
        <v>645</v>
      </c>
      <c r="E251" s="406">
        <f t="shared" si="4"/>
        <v>250</v>
      </c>
      <c r="F251" s="406"/>
      <c r="G251" s="407"/>
      <c r="H251" s="407"/>
      <c r="I251" s="407"/>
      <c r="J251" s="407"/>
      <c r="K251" s="407"/>
      <c r="L251" s="407"/>
      <c r="M251" s="407"/>
      <c r="N251" s="407"/>
      <c r="O251" s="407"/>
      <c r="P251" s="417"/>
      <c r="Q251" s="417"/>
      <c r="R251" s="407"/>
      <c r="S251" s="407"/>
      <c r="T251" s="407"/>
      <c r="U251" s="407"/>
    </row>
    <row r="252" spans="1:21" ht="28" x14ac:dyDescent="0.35">
      <c r="A252" s="408"/>
      <c r="B252" s="376" t="s">
        <v>651</v>
      </c>
      <c r="C252" s="393" t="s">
        <v>229</v>
      </c>
      <c r="D252" s="401" t="s">
        <v>645</v>
      </c>
      <c r="E252" s="406">
        <f t="shared" si="4"/>
        <v>251</v>
      </c>
      <c r="F252" s="406"/>
      <c r="G252" s="407"/>
      <c r="H252" s="407"/>
      <c r="I252" s="407"/>
      <c r="J252" s="407"/>
      <c r="K252" s="407"/>
      <c r="L252" s="407"/>
      <c r="M252" s="407"/>
      <c r="N252" s="407"/>
      <c r="O252" s="407"/>
      <c r="P252" s="417"/>
      <c r="Q252" s="417"/>
      <c r="R252" s="407"/>
      <c r="S252" s="407"/>
      <c r="T252" s="407"/>
      <c r="U252" s="407"/>
    </row>
    <row r="253" spans="1:21" ht="28" x14ac:dyDescent="0.35">
      <c r="A253" s="408"/>
      <c r="B253" s="376" t="s">
        <v>652</v>
      </c>
      <c r="C253" s="393" t="s">
        <v>402</v>
      </c>
      <c r="D253" s="401" t="s">
        <v>645</v>
      </c>
      <c r="E253" s="406">
        <f t="shared" si="4"/>
        <v>252</v>
      </c>
      <c r="F253" s="406"/>
      <c r="G253" s="407"/>
      <c r="H253" s="407"/>
      <c r="I253" s="407"/>
      <c r="J253" s="407"/>
      <c r="K253" s="407"/>
      <c r="L253" s="407"/>
      <c r="M253" s="407"/>
      <c r="N253" s="407"/>
      <c r="O253" s="407"/>
      <c r="P253" s="417"/>
      <c r="Q253" s="417"/>
      <c r="R253" s="407"/>
      <c r="S253" s="407"/>
      <c r="T253" s="407"/>
      <c r="U253" s="407"/>
    </row>
    <row r="254" spans="1:21" ht="28" x14ac:dyDescent="0.35">
      <c r="A254" s="408"/>
      <c r="B254" s="376" t="s">
        <v>654</v>
      </c>
      <c r="C254" s="393" t="s">
        <v>402</v>
      </c>
      <c r="D254" s="401" t="s">
        <v>1507</v>
      </c>
      <c r="E254" s="406">
        <f t="shared" si="4"/>
        <v>253</v>
      </c>
      <c r="F254" s="406"/>
      <c r="G254" s="407"/>
      <c r="H254" s="407"/>
      <c r="I254" s="407"/>
      <c r="J254" s="407"/>
      <c r="K254" s="407"/>
      <c r="L254" s="407"/>
      <c r="M254" s="407"/>
      <c r="N254" s="407"/>
      <c r="O254" s="407"/>
      <c r="P254" s="417"/>
      <c r="Q254" s="417"/>
      <c r="R254" s="407"/>
      <c r="S254" s="407"/>
      <c r="T254" s="407"/>
      <c r="U254" s="407"/>
    </row>
    <row r="255" spans="1:21" ht="28" x14ac:dyDescent="0.35">
      <c r="A255" s="408"/>
      <c r="B255" s="376" t="s">
        <v>653</v>
      </c>
      <c r="C255" s="393" t="s">
        <v>360</v>
      </c>
      <c r="D255" s="401" t="s">
        <v>645</v>
      </c>
      <c r="E255" s="406">
        <f t="shared" si="4"/>
        <v>254</v>
      </c>
      <c r="F255" s="406"/>
      <c r="G255" s="407"/>
      <c r="H255" s="407"/>
      <c r="I255" s="407"/>
      <c r="J255" s="407"/>
      <c r="K255" s="407"/>
      <c r="L255" s="407"/>
      <c r="M255" s="407"/>
      <c r="N255" s="407"/>
      <c r="O255" s="407"/>
      <c r="P255" s="417"/>
      <c r="Q255" s="417"/>
      <c r="R255" s="407"/>
      <c r="S255" s="407"/>
      <c r="T255" s="407"/>
      <c r="U255" s="407"/>
    </row>
    <row r="256" spans="1:21" x14ac:dyDescent="0.35">
      <c r="A256" s="408"/>
      <c r="B256" s="376" t="s">
        <v>655</v>
      </c>
      <c r="C256" s="393" t="s">
        <v>402</v>
      </c>
      <c r="D256" s="401" t="s">
        <v>656</v>
      </c>
      <c r="E256" s="406">
        <f t="shared" si="4"/>
        <v>255</v>
      </c>
      <c r="F256" s="406"/>
      <c r="G256" s="407"/>
      <c r="H256" s="407"/>
      <c r="I256" s="407"/>
      <c r="J256" s="407"/>
      <c r="K256" s="407"/>
      <c r="L256" s="407"/>
      <c r="M256" s="407"/>
      <c r="N256" s="407"/>
      <c r="O256" s="407"/>
      <c r="P256" s="417"/>
      <c r="Q256" s="417"/>
      <c r="R256" s="407"/>
      <c r="S256" s="407"/>
      <c r="T256" s="407"/>
      <c r="U256" s="407"/>
    </row>
    <row r="257" spans="1:21" x14ac:dyDescent="0.35">
      <c r="A257" s="408"/>
      <c r="B257" s="376" t="s">
        <v>657</v>
      </c>
      <c r="C257" s="393" t="s">
        <v>402</v>
      </c>
      <c r="D257" s="401" t="s">
        <v>656</v>
      </c>
      <c r="E257" s="406">
        <f t="shared" si="4"/>
        <v>256</v>
      </c>
      <c r="F257" s="406"/>
      <c r="G257" s="407"/>
      <c r="H257" s="407"/>
      <c r="I257" s="407"/>
      <c r="J257" s="407"/>
      <c r="K257" s="407"/>
      <c r="L257" s="407"/>
      <c r="M257" s="407"/>
      <c r="N257" s="407"/>
      <c r="O257" s="407"/>
      <c r="P257" s="417"/>
      <c r="Q257" s="417"/>
      <c r="R257" s="407"/>
      <c r="S257" s="407"/>
      <c r="T257" s="407"/>
      <c r="U257" s="407"/>
    </row>
    <row r="258" spans="1:21" x14ac:dyDescent="0.35">
      <c r="A258" s="408"/>
      <c r="B258" s="376" t="s">
        <v>658</v>
      </c>
      <c r="C258" s="393" t="s">
        <v>402</v>
      </c>
      <c r="D258" s="401" t="s">
        <v>656</v>
      </c>
      <c r="E258" s="406">
        <f t="shared" si="4"/>
        <v>257</v>
      </c>
      <c r="F258" s="406"/>
      <c r="G258" s="407"/>
      <c r="H258" s="407"/>
      <c r="I258" s="407"/>
      <c r="J258" s="407"/>
      <c r="K258" s="407"/>
      <c r="L258" s="407"/>
      <c r="M258" s="407"/>
      <c r="N258" s="407"/>
      <c r="O258" s="407"/>
      <c r="P258" s="417"/>
      <c r="Q258" s="417"/>
      <c r="R258" s="407"/>
      <c r="S258" s="407"/>
      <c r="T258" s="407"/>
      <c r="U258" s="407"/>
    </row>
    <row r="259" spans="1:21" x14ac:dyDescent="0.35">
      <c r="A259" s="408"/>
      <c r="B259" s="376" t="s">
        <v>659</v>
      </c>
      <c r="C259" s="393" t="s">
        <v>402</v>
      </c>
      <c r="D259" s="401" t="s">
        <v>656</v>
      </c>
      <c r="E259" s="406">
        <f t="shared" si="4"/>
        <v>258</v>
      </c>
      <c r="F259" s="406"/>
      <c r="G259" s="407"/>
      <c r="H259" s="407"/>
      <c r="I259" s="407"/>
      <c r="J259" s="407"/>
      <c r="K259" s="407"/>
      <c r="L259" s="407"/>
      <c r="M259" s="407"/>
      <c r="N259" s="407"/>
      <c r="O259" s="407"/>
      <c r="P259" s="417"/>
      <c r="Q259" s="417"/>
      <c r="R259" s="407"/>
      <c r="S259" s="407"/>
      <c r="T259" s="407"/>
      <c r="U259" s="407"/>
    </row>
    <row r="260" spans="1:21" ht="28" x14ac:dyDescent="0.35">
      <c r="A260" s="408"/>
      <c r="B260" s="376" t="s">
        <v>660</v>
      </c>
      <c r="C260" s="393" t="s">
        <v>360</v>
      </c>
      <c r="D260" s="401" t="s">
        <v>661</v>
      </c>
      <c r="E260" s="406">
        <f t="shared" si="4"/>
        <v>259</v>
      </c>
      <c r="F260" s="406"/>
      <c r="G260" s="407"/>
      <c r="H260" s="407"/>
      <c r="I260" s="407"/>
      <c r="J260" s="407"/>
      <c r="K260" s="407"/>
      <c r="L260" s="407"/>
      <c r="M260" s="407"/>
      <c r="N260" s="407"/>
      <c r="O260" s="407"/>
      <c r="P260" s="417"/>
      <c r="Q260" s="417"/>
      <c r="R260" s="407"/>
      <c r="S260" s="407"/>
      <c r="T260" s="407"/>
      <c r="U260" s="407"/>
    </row>
    <row r="261" spans="1:21" ht="42" x14ac:dyDescent="0.35">
      <c r="A261" s="408"/>
      <c r="B261" s="376" t="s">
        <v>662</v>
      </c>
      <c r="C261" s="393" t="s">
        <v>360</v>
      </c>
      <c r="D261" s="401" t="s">
        <v>663</v>
      </c>
      <c r="E261" s="406">
        <f t="shared" si="4"/>
        <v>260</v>
      </c>
      <c r="F261" s="406"/>
      <c r="G261" s="407"/>
      <c r="H261" s="407"/>
      <c r="I261" s="407"/>
      <c r="J261" s="407"/>
      <c r="K261" s="407"/>
      <c r="L261" s="407"/>
      <c r="M261" s="407"/>
      <c r="N261" s="407"/>
      <c r="O261" s="407"/>
      <c r="P261" s="417"/>
      <c r="Q261" s="417"/>
      <c r="R261" s="407"/>
      <c r="S261" s="407"/>
      <c r="T261" s="407"/>
      <c r="U261" s="407"/>
    </row>
    <row r="262" spans="1:21" x14ac:dyDescent="0.35">
      <c r="A262" s="408"/>
      <c r="B262" s="376" t="s">
        <v>1431</v>
      </c>
      <c r="C262" s="397" t="s">
        <v>360</v>
      </c>
      <c r="D262" s="401" t="s">
        <v>721</v>
      </c>
      <c r="E262" s="406">
        <f t="shared" si="4"/>
        <v>261</v>
      </c>
      <c r="F262" s="406"/>
      <c r="G262" s="407"/>
      <c r="H262" s="407"/>
      <c r="I262" s="407"/>
      <c r="J262" s="407"/>
      <c r="K262" s="407"/>
      <c r="L262" s="407"/>
      <c r="M262" s="407"/>
      <c r="N262" s="407"/>
      <c r="O262" s="407"/>
      <c r="P262" s="417"/>
      <c r="Q262" s="417"/>
      <c r="R262" s="407"/>
      <c r="S262" s="407"/>
      <c r="T262" s="407"/>
      <c r="U262" s="407"/>
    </row>
    <row r="263" spans="1:21" ht="28" x14ac:dyDescent="0.35">
      <c r="A263" s="408"/>
      <c r="B263" s="376" t="s">
        <v>1432</v>
      </c>
      <c r="C263" s="393" t="s">
        <v>402</v>
      </c>
      <c r="D263" s="401" t="s">
        <v>1508</v>
      </c>
      <c r="E263" s="406">
        <f t="shared" si="4"/>
        <v>262</v>
      </c>
      <c r="F263" s="406"/>
      <c r="G263" s="407"/>
      <c r="H263" s="407"/>
      <c r="I263" s="407"/>
      <c r="J263" s="407"/>
      <c r="K263" s="407"/>
      <c r="L263" s="407"/>
      <c r="M263" s="407"/>
      <c r="N263" s="407"/>
      <c r="O263" s="407"/>
      <c r="P263" s="417"/>
      <c r="Q263" s="417"/>
      <c r="R263" s="407"/>
      <c r="S263" s="407"/>
      <c r="T263" s="407"/>
      <c r="U263" s="407"/>
    </row>
    <row r="264" spans="1:21" ht="28" x14ac:dyDescent="0.35">
      <c r="A264" s="408"/>
      <c r="B264" s="376" t="s">
        <v>1433</v>
      </c>
      <c r="C264" s="397" t="s">
        <v>402</v>
      </c>
      <c r="D264" s="401" t="s">
        <v>719</v>
      </c>
      <c r="E264" s="406">
        <f t="shared" si="4"/>
        <v>263</v>
      </c>
      <c r="F264" s="406"/>
      <c r="G264" s="407"/>
      <c r="H264" s="407"/>
      <c r="I264" s="407"/>
      <c r="J264" s="407"/>
      <c r="K264" s="407"/>
      <c r="L264" s="407"/>
      <c r="M264" s="407"/>
      <c r="N264" s="407"/>
      <c r="O264" s="407"/>
      <c r="P264" s="417"/>
      <c r="Q264" s="417"/>
      <c r="R264" s="407"/>
      <c r="S264" s="407"/>
      <c r="T264" s="407"/>
      <c r="U264" s="407"/>
    </row>
    <row r="265" spans="1:21" x14ac:dyDescent="0.35">
      <c r="A265" s="408"/>
      <c r="B265" s="376" t="s">
        <v>664</v>
      </c>
      <c r="C265" s="393" t="s">
        <v>360</v>
      </c>
      <c r="D265" s="401" t="s">
        <v>665</v>
      </c>
      <c r="E265" s="406">
        <f t="shared" si="4"/>
        <v>264</v>
      </c>
      <c r="F265" s="406"/>
      <c r="G265" s="407"/>
      <c r="H265" s="407"/>
      <c r="I265" s="407"/>
      <c r="J265" s="407"/>
      <c r="K265" s="407"/>
      <c r="L265" s="407"/>
      <c r="M265" s="407"/>
      <c r="N265" s="407"/>
      <c r="O265" s="407"/>
      <c r="P265" s="417"/>
      <c r="Q265" s="417"/>
      <c r="R265" s="407"/>
      <c r="S265" s="407"/>
      <c r="T265" s="407"/>
      <c r="U265" s="407"/>
    </row>
    <row r="266" spans="1:21" x14ac:dyDescent="0.35">
      <c r="A266" s="408"/>
      <c r="B266" s="376" t="s">
        <v>666</v>
      </c>
      <c r="C266" s="393" t="s">
        <v>360</v>
      </c>
      <c r="D266" s="401" t="s">
        <v>667</v>
      </c>
      <c r="E266" s="406">
        <f t="shared" si="4"/>
        <v>265</v>
      </c>
      <c r="F266" s="406"/>
      <c r="G266" s="407"/>
      <c r="H266" s="407"/>
      <c r="I266" s="407"/>
      <c r="J266" s="407"/>
      <c r="K266" s="407"/>
      <c r="L266" s="407"/>
      <c r="M266" s="407"/>
      <c r="N266" s="407"/>
      <c r="O266" s="407"/>
      <c r="P266" s="417"/>
      <c r="Q266" s="417"/>
      <c r="R266" s="407"/>
      <c r="S266" s="407"/>
      <c r="T266" s="407"/>
      <c r="U266" s="407"/>
    </row>
    <row r="267" spans="1:21" ht="28" x14ac:dyDescent="0.35">
      <c r="A267" s="408"/>
      <c r="B267" s="376" t="s">
        <v>668</v>
      </c>
      <c r="C267" s="393" t="s">
        <v>360</v>
      </c>
      <c r="D267" s="401" t="s">
        <v>669</v>
      </c>
      <c r="E267" s="406">
        <f t="shared" si="4"/>
        <v>266</v>
      </c>
      <c r="F267" s="406"/>
      <c r="G267" s="407"/>
      <c r="H267" s="407"/>
      <c r="I267" s="407"/>
      <c r="J267" s="407"/>
      <c r="K267" s="407"/>
      <c r="L267" s="407"/>
      <c r="M267" s="407"/>
      <c r="N267" s="407"/>
      <c r="O267" s="407"/>
      <c r="P267" s="417"/>
      <c r="Q267" s="417"/>
      <c r="R267" s="407"/>
      <c r="S267" s="407"/>
      <c r="T267" s="407"/>
      <c r="U267" s="407"/>
    </row>
    <row r="268" spans="1:21" ht="28" x14ac:dyDescent="0.35">
      <c r="A268" s="408"/>
      <c r="B268" s="376" t="s">
        <v>670</v>
      </c>
      <c r="C268" s="393" t="s">
        <v>360</v>
      </c>
      <c r="D268" s="401" t="s">
        <v>671</v>
      </c>
      <c r="E268" s="406">
        <f t="shared" si="4"/>
        <v>267</v>
      </c>
      <c r="F268" s="406"/>
      <c r="G268" s="407"/>
      <c r="H268" s="407" t="s">
        <v>124</v>
      </c>
      <c r="I268" s="407"/>
      <c r="J268" s="407"/>
      <c r="K268" s="407" t="s">
        <v>124</v>
      </c>
      <c r="L268" s="407"/>
      <c r="M268" s="407"/>
      <c r="N268" s="407"/>
      <c r="O268" s="407"/>
      <c r="P268" s="417"/>
      <c r="Q268" s="417"/>
      <c r="R268" s="407"/>
      <c r="S268" s="407"/>
      <c r="T268" s="407"/>
      <c r="U268" s="407"/>
    </row>
    <row r="269" spans="1:21" ht="28" x14ac:dyDescent="0.35">
      <c r="A269" s="408"/>
      <c r="B269" s="376" t="s">
        <v>672</v>
      </c>
      <c r="C269" s="393" t="s">
        <v>360</v>
      </c>
      <c r="D269" s="401" t="s">
        <v>673</v>
      </c>
      <c r="E269" s="406">
        <f t="shared" si="4"/>
        <v>268</v>
      </c>
      <c r="F269" s="406"/>
      <c r="G269" s="407"/>
      <c r="H269" s="407" t="s">
        <v>124</v>
      </c>
      <c r="I269" s="407"/>
      <c r="J269" s="407"/>
      <c r="K269" s="407" t="s">
        <v>124</v>
      </c>
      <c r="L269" s="407"/>
      <c r="M269" s="407"/>
      <c r="N269" s="407"/>
      <c r="O269" s="407"/>
      <c r="P269" s="417"/>
      <c r="Q269" s="417"/>
      <c r="R269" s="407"/>
      <c r="S269" s="407"/>
      <c r="T269" s="407"/>
      <c r="U269" s="407"/>
    </row>
    <row r="270" spans="1:21" x14ac:dyDescent="0.35">
      <c r="A270" s="408"/>
      <c r="B270" s="376" t="s">
        <v>1434</v>
      </c>
      <c r="C270" s="397" t="s">
        <v>360</v>
      </c>
      <c r="D270" s="401" t="s">
        <v>665</v>
      </c>
      <c r="E270" s="406">
        <f t="shared" si="4"/>
        <v>269</v>
      </c>
      <c r="F270" s="406"/>
      <c r="G270" s="407"/>
      <c r="H270" s="407" t="s">
        <v>124</v>
      </c>
      <c r="I270" s="407"/>
      <c r="J270" s="407"/>
      <c r="K270" s="407" t="s">
        <v>124</v>
      </c>
      <c r="L270" s="407"/>
      <c r="M270" s="407"/>
      <c r="N270" s="407"/>
      <c r="O270" s="407"/>
      <c r="P270" s="417"/>
      <c r="Q270" s="417"/>
      <c r="R270" s="407"/>
      <c r="S270" s="407"/>
      <c r="T270" s="407"/>
      <c r="U270" s="407"/>
    </row>
    <row r="271" spans="1:21" ht="28" x14ac:dyDescent="0.35">
      <c r="A271" s="408"/>
      <c r="B271" s="376" t="s">
        <v>1435</v>
      </c>
      <c r="C271" s="397" t="s">
        <v>360</v>
      </c>
      <c r="D271" s="401" t="s">
        <v>669</v>
      </c>
      <c r="E271" s="406">
        <f t="shared" si="4"/>
        <v>270</v>
      </c>
      <c r="F271" s="406"/>
      <c r="G271" s="407"/>
      <c r="H271" s="407" t="s">
        <v>124</v>
      </c>
      <c r="I271" s="407"/>
      <c r="J271" s="407"/>
      <c r="K271" s="407" t="s">
        <v>124</v>
      </c>
      <c r="L271" s="407"/>
      <c r="M271" s="407"/>
      <c r="N271" s="407"/>
      <c r="O271" s="407"/>
      <c r="P271" s="417"/>
      <c r="Q271" s="417"/>
      <c r="R271" s="407"/>
      <c r="S271" s="407"/>
      <c r="T271" s="407"/>
      <c r="U271" s="407"/>
    </row>
    <row r="272" spans="1:21" ht="28" x14ac:dyDescent="0.35">
      <c r="A272" s="408"/>
      <c r="B272" s="376" t="s">
        <v>1436</v>
      </c>
      <c r="C272" s="397" t="s">
        <v>360</v>
      </c>
      <c r="D272" s="401" t="s">
        <v>669</v>
      </c>
      <c r="E272" s="406">
        <f t="shared" si="4"/>
        <v>271</v>
      </c>
      <c r="F272" s="406"/>
      <c r="G272" s="407"/>
      <c r="H272" s="407" t="s">
        <v>124</v>
      </c>
      <c r="I272" s="407"/>
      <c r="J272" s="407"/>
      <c r="K272" s="407" t="s">
        <v>124</v>
      </c>
      <c r="L272" s="407"/>
      <c r="M272" s="407"/>
      <c r="N272" s="407"/>
      <c r="O272" s="407"/>
      <c r="P272" s="417"/>
      <c r="Q272" s="417"/>
      <c r="R272" s="407"/>
      <c r="S272" s="407"/>
      <c r="T272" s="407"/>
      <c r="U272" s="407"/>
    </row>
    <row r="273" spans="1:21" ht="28" x14ac:dyDescent="0.35">
      <c r="A273" s="408"/>
      <c r="B273" s="376" t="s">
        <v>674</v>
      </c>
      <c r="C273" s="393" t="s">
        <v>402</v>
      </c>
      <c r="D273" s="401" t="s">
        <v>675</v>
      </c>
      <c r="E273" s="406">
        <f t="shared" si="4"/>
        <v>272</v>
      </c>
      <c r="F273" s="406"/>
      <c r="G273" s="407"/>
      <c r="H273" s="407" t="s">
        <v>124</v>
      </c>
      <c r="I273" s="407"/>
      <c r="J273" s="407"/>
      <c r="K273" s="407" t="s">
        <v>124</v>
      </c>
      <c r="L273" s="407"/>
      <c r="M273" s="407"/>
      <c r="N273" s="407"/>
      <c r="O273" s="407"/>
      <c r="P273" s="417"/>
      <c r="Q273" s="417"/>
      <c r="R273" s="407"/>
      <c r="S273" s="407"/>
      <c r="T273" s="407"/>
      <c r="U273" s="407"/>
    </row>
    <row r="274" spans="1:21" ht="28" x14ac:dyDescent="0.35">
      <c r="A274" s="408"/>
      <c r="B274" s="376" t="s">
        <v>676</v>
      </c>
      <c r="C274" s="393" t="s">
        <v>402</v>
      </c>
      <c r="D274" s="401" t="s">
        <v>675</v>
      </c>
      <c r="E274" s="406">
        <f t="shared" si="4"/>
        <v>273</v>
      </c>
      <c r="F274" s="406"/>
      <c r="G274" s="407"/>
      <c r="H274" s="407" t="s">
        <v>124</v>
      </c>
      <c r="I274" s="407"/>
      <c r="J274" s="407"/>
      <c r="K274" s="407" t="s">
        <v>124</v>
      </c>
      <c r="L274" s="407"/>
      <c r="M274" s="407"/>
      <c r="N274" s="407"/>
      <c r="O274" s="407"/>
      <c r="P274" s="417"/>
      <c r="Q274" s="417"/>
      <c r="R274" s="407"/>
      <c r="S274" s="407"/>
      <c r="T274" s="407"/>
      <c r="U274" s="407"/>
    </row>
    <row r="275" spans="1:21" ht="28" x14ac:dyDescent="0.35">
      <c r="A275" s="408"/>
      <c r="B275" s="376" t="s">
        <v>1437</v>
      </c>
      <c r="C275" s="393" t="s">
        <v>229</v>
      </c>
      <c r="D275" s="401" t="s">
        <v>675</v>
      </c>
      <c r="E275" s="406">
        <f t="shared" si="4"/>
        <v>274</v>
      </c>
      <c r="F275" s="406"/>
      <c r="G275" s="407"/>
      <c r="H275" s="407" t="s">
        <v>124</v>
      </c>
      <c r="I275" s="407"/>
      <c r="J275" s="407"/>
      <c r="K275" s="407" t="s">
        <v>124</v>
      </c>
      <c r="L275" s="407"/>
      <c r="M275" s="407"/>
      <c r="N275" s="407"/>
      <c r="O275" s="407"/>
      <c r="P275" s="417"/>
      <c r="Q275" s="417"/>
      <c r="R275" s="407"/>
      <c r="S275" s="407"/>
      <c r="T275" s="407"/>
      <c r="U275" s="407"/>
    </row>
    <row r="276" spans="1:21" ht="28" x14ac:dyDescent="0.35">
      <c r="A276" s="408"/>
      <c r="B276" s="376" t="s">
        <v>677</v>
      </c>
      <c r="C276" s="393" t="s">
        <v>229</v>
      </c>
      <c r="D276" s="401" t="s">
        <v>675</v>
      </c>
      <c r="E276" s="406">
        <f t="shared" si="4"/>
        <v>275</v>
      </c>
      <c r="F276" s="406"/>
      <c r="G276" s="407"/>
      <c r="H276" s="407" t="s">
        <v>124</v>
      </c>
      <c r="I276" s="407"/>
      <c r="J276" s="407"/>
      <c r="K276" s="407" t="s">
        <v>124</v>
      </c>
      <c r="L276" s="407"/>
      <c r="M276" s="407"/>
      <c r="N276" s="407"/>
      <c r="O276" s="407"/>
      <c r="P276" s="417"/>
      <c r="Q276" s="417"/>
      <c r="R276" s="407"/>
      <c r="S276" s="407"/>
      <c r="T276" s="407"/>
      <c r="U276" s="407"/>
    </row>
    <row r="277" spans="1:21" ht="28" x14ac:dyDescent="0.35">
      <c r="A277" s="408"/>
      <c r="B277" s="376" t="s">
        <v>1438</v>
      </c>
      <c r="C277" s="393" t="s">
        <v>402</v>
      </c>
      <c r="D277" s="401" t="s">
        <v>1509</v>
      </c>
      <c r="E277" s="406">
        <f t="shared" si="4"/>
        <v>276</v>
      </c>
      <c r="F277" s="406"/>
      <c r="G277" s="407"/>
      <c r="H277" s="407" t="s">
        <v>124</v>
      </c>
      <c r="I277" s="407"/>
      <c r="J277" s="407"/>
      <c r="K277" s="407" t="s">
        <v>124</v>
      </c>
      <c r="L277" s="407"/>
      <c r="M277" s="407"/>
      <c r="N277" s="407"/>
      <c r="O277" s="407"/>
      <c r="P277" s="417"/>
      <c r="Q277" s="417"/>
      <c r="R277" s="407"/>
      <c r="S277" s="407"/>
      <c r="T277" s="407"/>
      <c r="U277" s="407"/>
    </row>
    <row r="278" spans="1:21" ht="28" x14ac:dyDescent="0.35">
      <c r="A278" s="408"/>
      <c r="B278" s="376" t="s">
        <v>1439</v>
      </c>
      <c r="C278" s="393" t="s">
        <v>229</v>
      </c>
      <c r="D278" s="401" t="s">
        <v>675</v>
      </c>
      <c r="E278" s="406">
        <f t="shared" si="4"/>
        <v>277</v>
      </c>
      <c r="F278" s="406"/>
      <c r="G278" s="407"/>
      <c r="H278" s="407" t="s">
        <v>124</v>
      </c>
      <c r="I278" s="407"/>
      <c r="J278" s="407"/>
      <c r="K278" s="407" t="s">
        <v>124</v>
      </c>
      <c r="L278" s="407"/>
      <c r="M278" s="407"/>
      <c r="N278" s="407"/>
      <c r="O278" s="407"/>
      <c r="P278" s="417"/>
      <c r="Q278" s="417"/>
      <c r="R278" s="407"/>
      <c r="S278" s="407"/>
      <c r="T278" s="407"/>
      <c r="U278" s="407"/>
    </row>
    <row r="279" spans="1:21" ht="28" x14ac:dyDescent="0.35">
      <c r="A279" s="408"/>
      <c r="B279" s="376" t="s">
        <v>678</v>
      </c>
      <c r="C279" s="393" t="s">
        <v>402</v>
      </c>
      <c r="D279" s="401" t="s">
        <v>675</v>
      </c>
      <c r="E279" s="406">
        <f t="shared" si="4"/>
        <v>278</v>
      </c>
      <c r="F279" s="406"/>
      <c r="G279" s="407"/>
      <c r="H279" s="407" t="s">
        <v>124</v>
      </c>
      <c r="I279" s="407"/>
      <c r="J279" s="407"/>
      <c r="K279" s="407" t="s">
        <v>124</v>
      </c>
      <c r="L279" s="407"/>
      <c r="M279" s="407"/>
      <c r="N279" s="407"/>
      <c r="O279" s="407"/>
      <c r="P279" s="417"/>
      <c r="Q279" s="417"/>
      <c r="R279" s="407"/>
      <c r="S279" s="407"/>
      <c r="T279" s="407"/>
      <c r="U279" s="407"/>
    </row>
    <row r="280" spans="1:21" ht="28" x14ac:dyDescent="0.35">
      <c r="A280" s="408"/>
      <c r="B280" s="376" t="s">
        <v>679</v>
      </c>
      <c r="C280" s="393" t="s">
        <v>402</v>
      </c>
      <c r="D280" s="401" t="s">
        <v>675</v>
      </c>
      <c r="E280" s="406">
        <f t="shared" si="4"/>
        <v>279</v>
      </c>
      <c r="F280" s="406"/>
      <c r="G280" s="407"/>
      <c r="H280" s="407" t="s">
        <v>124</v>
      </c>
      <c r="I280" s="407"/>
      <c r="J280" s="407"/>
      <c r="K280" s="407" t="s">
        <v>124</v>
      </c>
      <c r="L280" s="407"/>
      <c r="M280" s="407"/>
      <c r="N280" s="407"/>
      <c r="O280" s="407"/>
      <c r="P280" s="417"/>
      <c r="Q280" s="417"/>
      <c r="R280" s="407"/>
      <c r="S280" s="407"/>
      <c r="T280" s="407"/>
      <c r="U280" s="407"/>
    </row>
    <row r="281" spans="1:21" ht="28" x14ac:dyDescent="0.35">
      <c r="A281" s="408"/>
      <c r="B281" s="376" t="s">
        <v>1440</v>
      </c>
      <c r="C281" s="393" t="s">
        <v>229</v>
      </c>
      <c r="D281" s="401" t="s">
        <v>675</v>
      </c>
      <c r="E281" s="406">
        <f t="shared" si="4"/>
        <v>280</v>
      </c>
      <c r="F281" s="406"/>
      <c r="G281" s="407"/>
      <c r="H281" s="407" t="s">
        <v>124</v>
      </c>
      <c r="I281" s="407"/>
      <c r="J281" s="407"/>
      <c r="K281" s="407" t="s">
        <v>124</v>
      </c>
      <c r="L281" s="407"/>
      <c r="M281" s="407"/>
      <c r="N281" s="407"/>
      <c r="O281" s="407"/>
      <c r="P281" s="417"/>
      <c r="Q281" s="417"/>
      <c r="R281" s="407"/>
      <c r="S281" s="407"/>
      <c r="T281" s="407"/>
      <c r="U281" s="407"/>
    </row>
    <row r="282" spans="1:21" ht="28" x14ac:dyDescent="0.35">
      <c r="A282" s="408"/>
      <c r="B282" s="376" t="s">
        <v>1207</v>
      </c>
      <c r="C282" s="393" t="s">
        <v>229</v>
      </c>
      <c r="D282" s="401" t="s">
        <v>1208</v>
      </c>
      <c r="E282" s="406">
        <f t="shared" si="4"/>
        <v>281</v>
      </c>
      <c r="F282" s="406"/>
      <c r="G282" s="407"/>
      <c r="H282" s="407" t="s">
        <v>124</v>
      </c>
      <c r="I282" s="407"/>
      <c r="J282" s="407"/>
      <c r="K282" s="407" t="s">
        <v>124</v>
      </c>
      <c r="L282" s="407"/>
      <c r="M282" s="407"/>
      <c r="N282" s="407"/>
      <c r="O282" s="407"/>
      <c r="P282" s="417"/>
      <c r="Q282" s="417"/>
      <c r="R282" s="407"/>
      <c r="S282" s="407"/>
      <c r="T282" s="407"/>
      <c r="U282" s="407"/>
    </row>
    <row r="283" spans="1:21" ht="28" x14ac:dyDescent="0.35">
      <c r="A283" s="408"/>
      <c r="B283" s="376" t="s">
        <v>1441</v>
      </c>
      <c r="C283" s="393" t="s">
        <v>229</v>
      </c>
      <c r="D283" s="401" t="s">
        <v>1510</v>
      </c>
      <c r="E283" s="406">
        <f t="shared" si="4"/>
        <v>282</v>
      </c>
      <c r="F283" s="406"/>
      <c r="G283" s="407"/>
      <c r="H283" s="407" t="s">
        <v>124</v>
      </c>
      <c r="I283" s="407"/>
      <c r="J283" s="407"/>
      <c r="K283" s="407" t="s">
        <v>124</v>
      </c>
      <c r="L283" s="407"/>
      <c r="M283" s="407"/>
      <c r="N283" s="407"/>
      <c r="O283" s="407"/>
      <c r="P283" s="417"/>
      <c r="Q283" s="417"/>
      <c r="R283" s="407"/>
      <c r="S283" s="407"/>
      <c r="T283" s="407"/>
      <c r="U283" s="407"/>
    </row>
    <row r="284" spans="1:21" ht="28" x14ac:dyDescent="0.35">
      <c r="A284" s="408"/>
      <c r="B284" s="376" t="s">
        <v>680</v>
      </c>
      <c r="C284" s="393" t="s">
        <v>402</v>
      </c>
      <c r="D284" s="401" t="s">
        <v>675</v>
      </c>
      <c r="E284" s="406">
        <f t="shared" si="4"/>
        <v>283</v>
      </c>
      <c r="F284" s="406"/>
      <c r="G284" s="407"/>
      <c r="H284" s="407" t="s">
        <v>124</v>
      </c>
      <c r="I284" s="407"/>
      <c r="J284" s="407"/>
      <c r="K284" s="407" t="s">
        <v>124</v>
      </c>
      <c r="L284" s="407"/>
      <c r="M284" s="407"/>
      <c r="N284" s="407"/>
      <c r="O284" s="407"/>
      <c r="P284" s="417"/>
      <c r="Q284" s="417"/>
      <c r="R284" s="407"/>
      <c r="S284" s="407"/>
      <c r="T284" s="407"/>
      <c r="U284" s="407"/>
    </row>
    <row r="285" spans="1:21" ht="28" x14ac:dyDescent="0.35">
      <c r="A285" s="408"/>
      <c r="B285" s="376" t="s">
        <v>681</v>
      </c>
      <c r="C285" s="393" t="s">
        <v>360</v>
      </c>
      <c r="D285" s="401" t="s">
        <v>682</v>
      </c>
      <c r="E285" s="406">
        <f t="shared" ref="E285:E351" si="5">E284+1</f>
        <v>284</v>
      </c>
      <c r="F285" s="406"/>
      <c r="G285" s="407"/>
      <c r="H285" s="407" t="s">
        <v>124</v>
      </c>
      <c r="I285" s="407"/>
      <c r="J285" s="407"/>
      <c r="K285" s="407" t="s">
        <v>124</v>
      </c>
      <c r="L285" s="407"/>
      <c r="M285" s="407"/>
      <c r="N285" s="407"/>
      <c r="O285" s="407"/>
      <c r="P285" s="417"/>
      <c r="Q285" s="417"/>
      <c r="R285" s="407"/>
      <c r="S285" s="407"/>
      <c r="T285" s="407"/>
      <c r="U285" s="407"/>
    </row>
    <row r="286" spans="1:21" ht="28" x14ac:dyDescent="0.35">
      <c r="A286" s="408"/>
      <c r="B286" s="376" t="s">
        <v>683</v>
      </c>
      <c r="C286" s="393" t="s">
        <v>402</v>
      </c>
      <c r="D286" s="401" t="s">
        <v>684</v>
      </c>
      <c r="E286" s="406">
        <f t="shared" si="5"/>
        <v>285</v>
      </c>
      <c r="F286" s="406"/>
      <c r="G286" s="407"/>
      <c r="H286" s="407" t="s">
        <v>124</v>
      </c>
      <c r="I286" s="407"/>
      <c r="J286" s="407"/>
      <c r="K286" s="407" t="s">
        <v>124</v>
      </c>
      <c r="L286" s="407"/>
      <c r="M286" s="407"/>
      <c r="N286" s="407"/>
      <c r="O286" s="407"/>
      <c r="P286" s="417"/>
      <c r="Q286" s="417"/>
      <c r="R286" s="407"/>
      <c r="S286" s="407"/>
      <c r="T286" s="407"/>
      <c r="U286" s="407"/>
    </row>
    <row r="287" spans="1:21" s="467" customFormat="1" ht="42" x14ac:dyDescent="0.35">
      <c r="A287" s="408"/>
      <c r="B287" s="376" t="s">
        <v>685</v>
      </c>
      <c r="C287" s="393" t="s">
        <v>360</v>
      </c>
      <c r="D287" s="401" t="s">
        <v>686</v>
      </c>
      <c r="E287" s="406">
        <f t="shared" si="5"/>
        <v>286</v>
      </c>
      <c r="F287" s="406"/>
      <c r="G287" s="407"/>
      <c r="H287" s="407"/>
      <c r="I287" s="407"/>
      <c r="J287" s="407"/>
      <c r="K287" s="407"/>
      <c r="L287" s="407"/>
      <c r="M287" s="407"/>
      <c r="N287" s="407"/>
      <c r="O287" s="407"/>
      <c r="P287" s="417"/>
      <c r="Q287" s="417"/>
      <c r="R287" s="407"/>
      <c r="S287" s="407"/>
      <c r="T287" s="407"/>
      <c r="U287" s="407"/>
    </row>
    <row r="288" spans="1:21" x14ac:dyDescent="0.35">
      <c r="A288" s="408"/>
      <c r="B288" s="376" t="s">
        <v>687</v>
      </c>
      <c r="C288" s="393" t="s">
        <v>400</v>
      </c>
      <c r="D288" s="401" t="s">
        <v>1511</v>
      </c>
      <c r="E288" s="406">
        <f t="shared" si="5"/>
        <v>287</v>
      </c>
      <c r="F288" s="406"/>
      <c r="G288" s="407"/>
      <c r="H288" s="407" t="s">
        <v>124</v>
      </c>
      <c r="I288" s="407"/>
      <c r="J288" s="407"/>
      <c r="K288" s="407" t="s">
        <v>124</v>
      </c>
      <c r="L288" s="407"/>
      <c r="M288" s="407"/>
      <c r="N288" s="407"/>
      <c r="O288" s="407"/>
      <c r="P288" s="417"/>
      <c r="Q288" s="417"/>
      <c r="R288" s="407"/>
      <c r="S288" s="407"/>
      <c r="T288" s="407"/>
      <c r="U288" s="407"/>
    </row>
    <row r="289" spans="1:21" ht="28" x14ac:dyDescent="0.35">
      <c r="A289" s="408"/>
      <c r="B289" s="376" t="s">
        <v>688</v>
      </c>
      <c r="C289" s="393" t="s">
        <v>402</v>
      </c>
      <c r="D289" s="401" t="s">
        <v>1512</v>
      </c>
      <c r="E289" s="406">
        <f t="shared" si="5"/>
        <v>288</v>
      </c>
      <c r="F289" s="406"/>
      <c r="G289" s="407"/>
      <c r="H289" s="407" t="s">
        <v>124</v>
      </c>
      <c r="I289" s="407"/>
      <c r="J289" s="407"/>
      <c r="K289" s="407" t="s">
        <v>124</v>
      </c>
      <c r="L289" s="407"/>
      <c r="M289" s="407"/>
      <c r="N289" s="407"/>
      <c r="O289" s="407"/>
      <c r="P289" s="417"/>
      <c r="Q289" s="417"/>
      <c r="R289" s="407"/>
      <c r="S289" s="407"/>
      <c r="T289" s="407"/>
      <c r="U289" s="407"/>
    </row>
    <row r="290" spans="1:21" ht="28" x14ac:dyDescent="0.35">
      <c r="A290" s="408"/>
      <c r="B290" s="376" t="s">
        <v>690</v>
      </c>
      <c r="C290" s="393" t="s">
        <v>229</v>
      </c>
      <c r="D290" s="401" t="s">
        <v>1187</v>
      </c>
      <c r="E290" s="406">
        <f t="shared" si="5"/>
        <v>289</v>
      </c>
      <c r="F290" s="406"/>
      <c r="G290" s="407"/>
      <c r="H290" s="407" t="s">
        <v>124</v>
      </c>
      <c r="I290" s="407"/>
      <c r="J290" s="407"/>
      <c r="K290" s="407" t="s">
        <v>124</v>
      </c>
      <c r="L290" s="407"/>
      <c r="M290" s="407"/>
      <c r="N290" s="407"/>
      <c r="O290" s="407"/>
      <c r="P290" s="417"/>
      <c r="Q290" s="417"/>
      <c r="R290" s="407"/>
      <c r="S290" s="407"/>
      <c r="T290" s="407"/>
      <c r="U290" s="407"/>
    </row>
    <row r="291" spans="1:21" ht="28" x14ac:dyDescent="0.35">
      <c r="A291" s="408"/>
      <c r="B291" s="376" t="s">
        <v>691</v>
      </c>
      <c r="C291" s="393" t="s">
        <v>400</v>
      </c>
      <c r="D291" s="401" t="s">
        <v>1513</v>
      </c>
      <c r="E291" s="406">
        <f t="shared" si="5"/>
        <v>290</v>
      </c>
      <c r="F291" s="406"/>
      <c r="G291" s="407"/>
      <c r="H291" s="407" t="s">
        <v>124</v>
      </c>
      <c r="I291" s="407"/>
      <c r="J291" s="407"/>
      <c r="K291" s="407" t="s">
        <v>124</v>
      </c>
      <c r="L291" s="407"/>
      <c r="M291" s="407"/>
      <c r="N291" s="407"/>
      <c r="O291" s="407"/>
      <c r="P291" s="417"/>
      <c r="Q291" s="417"/>
      <c r="R291" s="407"/>
      <c r="S291" s="407"/>
      <c r="T291" s="407"/>
      <c r="U291" s="407"/>
    </row>
    <row r="292" spans="1:21" ht="28" x14ac:dyDescent="0.35">
      <c r="A292" s="408"/>
      <c r="B292" s="376" t="s">
        <v>689</v>
      </c>
      <c r="C292" s="393" t="s">
        <v>400</v>
      </c>
      <c r="D292" s="401" t="s">
        <v>1512</v>
      </c>
      <c r="E292" s="406">
        <f t="shared" si="5"/>
        <v>291</v>
      </c>
      <c r="F292" s="406"/>
      <c r="G292" s="407"/>
      <c r="H292" s="407" t="s">
        <v>124</v>
      </c>
      <c r="I292" s="407"/>
      <c r="J292" s="407"/>
      <c r="K292" s="407" t="s">
        <v>124</v>
      </c>
      <c r="L292" s="407"/>
      <c r="M292" s="407"/>
      <c r="N292" s="407"/>
      <c r="O292" s="407"/>
      <c r="P292" s="417"/>
      <c r="Q292" s="417"/>
      <c r="R292" s="407"/>
      <c r="S292" s="407"/>
      <c r="T292" s="407"/>
      <c r="U292" s="407"/>
    </row>
    <row r="293" spans="1:21" ht="28" x14ac:dyDescent="0.35">
      <c r="A293" s="408"/>
      <c r="B293" s="376" t="s">
        <v>692</v>
      </c>
      <c r="C293" s="393" t="s">
        <v>400</v>
      </c>
      <c r="D293" s="401" t="s">
        <v>1514</v>
      </c>
      <c r="E293" s="406">
        <f t="shared" si="5"/>
        <v>292</v>
      </c>
      <c r="F293" s="406"/>
      <c r="G293" s="407"/>
      <c r="H293" s="407" t="s">
        <v>124</v>
      </c>
      <c r="I293" s="407"/>
      <c r="J293" s="407"/>
      <c r="K293" s="407" t="s">
        <v>124</v>
      </c>
      <c r="L293" s="407"/>
      <c r="M293" s="407"/>
      <c r="N293" s="407"/>
      <c r="O293" s="407"/>
      <c r="P293" s="417"/>
      <c r="Q293" s="417"/>
      <c r="R293" s="407"/>
      <c r="S293" s="407"/>
      <c r="T293" s="407"/>
      <c r="U293" s="407"/>
    </row>
    <row r="294" spans="1:21" ht="28" x14ac:dyDescent="0.35">
      <c r="A294" s="408"/>
      <c r="B294" s="376" t="s">
        <v>693</v>
      </c>
      <c r="C294" s="393" t="s">
        <v>400</v>
      </c>
      <c r="D294" s="401" t="s">
        <v>694</v>
      </c>
      <c r="E294" s="406">
        <f t="shared" si="5"/>
        <v>293</v>
      </c>
      <c r="F294" s="406"/>
      <c r="G294" s="407"/>
      <c r="H294" s="407" t="s">
        <v>124</v>
      </c>
      <c r="I294" s="407"/>
      <c r="J294" s="407"/>
      <c r="K294" s="407" t="s">
        <v>124</v>
      </c>
      <c r="L294" s="407"/>
      <c r="M294" s="407"/>
      <c r="N294" s="407"/>
      <c r="O294" s="407"/>
      <c r="P294" s="417"/>
      <c r="Q294" s="417"/>
      <c r="R294" s="407"/>
      <c r="S294" s="407"/>
      <c r="T294" s="407"/>
      <c r="U294" s="407"/>
    </row>
    <row r="295" spans="1:21" ht="28" x14ac:dyDescent="0.35">
      <c r="A295" s="408"/>
      <c r="B295" s="376" t="s">
        <v>695</v>
      </c>
      <c r="C295" s="393" t="s">
        <v>400</v>
      </c>
      <c r="D295" s="401" t="s">
        <v>1515</v>
      </c>
      <c r="E295" s="406">
        <f t="shared" si="5"/>
        <v>294</v>
      </c>
      <c r="F295" s="406"/>
      <c r="G295" s="407"/>
      <c r="H295" s="407" t="s">
        <v>124</v>
      </c>
      <c r="I295" s="407"/>
      <c r="J295" s="407"/>
      <c r="K295" s="407" t="s">
        <v>124</v>
      </c>
      <c r="L295" s="407"/>
      <c r="M295" s="407"/>
      <c r="N295" s="407"/>
      <c r="O295" s="407"/>
      <c r="P295" s="417"/>
      <c r="Q295" s="417"/>
      <c r="R295" s="407"/>
      <c r="S295" s="407"/>
      <c r="T295" s="407"/>
      <c r="U295" s="407"/>
    </row>
    <row r="296" spans="1:21" ht="28" x14ac:dyDescent="0.35">
      <c r="A296" s="408"/>
      <c r="B296" s="376" t="s">
        <v>696</v>
      </c>
      <c r="C296" s="393" t="s">
        <v>400</v>
      </c>
      <c r="D296" s="401" t="s">
        <v>697</v>
      </c>
      <c r="E296" s="406">
        <f t="shared" si="5"/>
        <v>295</v>
      </c>
      <c r="F296" s="406"/>
      <c r="G296" s="407"/>
      <c r="H296" s="407" t="s">
        <v>124</v>
      </c>
      <c r="I296" s="407"/>
      <c r="J296" s="407"/>
      <c r="K296" s="407" t="s">
        <v>124</v>
      </c>
      <c r="L296" s="407"/>
      <c r="M296" s="407"/>
      <c r="N296" s="407"/>
      <c r="O296" s="407"/>
      <c r="P296" s="417"/>
      <c r="Q296" s="417"/>
      <c r="R296" s="407"/>
      <c r="S296" s="407"/>
      <c r="T296" s="407"/>
      <c r="U296" s="407"/>
    </row>
    <row r="297" spans="1:21" ht="28" x14ac:dyDescent="0.35">
      <c r="A297" s="408"/>
      <c r="B297" s="376" t="s">
        <v>698</v>
      </c>
      <c r="C297" s="393" t="s">
        <v>400</v>
      </c>
      <c r="D297" s="401" t="s">
        <v>1516</v>
      </c>
      <c r="E297" s="406">
        <f t="shared" si="5"/>
        <v>296</v>
      </c>
      <c r="F297" s="406"/>
      <c r="G297" s="407"/>
      <c r="H297" s="407" t="s">
        <v>124</v>
      </c>
      <c r="I297" s="407"/>
      <c r="J297" s="407"/>
      <c r="K297" s="407" t="s">
        <v>124</v>
      </c>
      <c r="L297" s="407"/>
      <c r="M297" s="407"/>
      <c r="N297" s="407"/>
      <c r="O297" s="407"/>
      <c r="P297" s="417"/>
      <c r="Q297" s="417"/>
      <c r="R297" s="407"/>
      <c r="S297" s="407"/>
      <c r="T297" s="407"/>
      <c r="U297" s="407"/>
    </row>
    <row r="298" spans="1:21" ht="28" x14ac:dyDescent="0.35">
      <c r="A298" s="408"/>
      <c r="B298" s="376" t="s">
        <v>699</v>
      </c>
      <c r="C298" s="393" t="s">
        <v>400</v>
      </c>
      <c r="D298" s="401" t="s">
        <v>1517</v>
      </c>
      <c r="E298" s="406">
        <f t="shared" si="5"/>
        <v>297</v>
      </c>
      <c r="F298" s="406"/>
      <c r="G298" s="407"/>
      <c r="H298" s="407" t="s">
        <v>124</v>
      </c>
      <c r="I298" s="407"/>
      <c r="J298" s="407"/>
      <c r="K298" s="407" t="s">
        <v>124</v>
      </c>
      <c r="L298" s="407"/>
      <c r="M298" s="407"/>
      <c r="N298" s="407"/>
      <c r="O298" s="407"/>
      <c r="P298" s="417"/>
      <c r="Q298" s="417"/>
      <c r="R298" s="407"/>
      <c r="S298" s="407"/>
      <c r="T298" s="407"/>
      <c r="U298" s="407"/>
    </row>
    <row r="299" spans="1:21" ht="28" x14ac:dyDescent="0.35">
      <c r="A299" s="408"/>
      <c r="B299" s="376" t="s">
        <v>700</v>
      </c>
      <c r="C299" s="397" t="s">
        <v>400</v>
      </c>
      <c r="D299" s="401" t="s">
        <v>1518</v>
      </c>
      <c r="E299" s="406">
        <f t="shared" si="5"/>
        <v>298</v>
      </c>
      <c r="F299" s="406"/>
      <c r="G299" s="407"/>
      <c r="H299" s="407" t="s">
        <v>124</v>
      </c>
      <c r="I299" s="407"/>
      <c r="J299" s="407"/>
      <c r="K299" s="407" t="s">
        <v>124</v>
      </c>
      <c r="L299" s="407"/>
      <c r="M299" s="407"/>
      <c r="N299" s="407"/>
      <c r="O299" s="407"/>
      <c r="P299" s="417"/>
      <c r="Q299" s="417"/>
      <c r="R299" s="407"/>
      <c r="S299" s="407"/>
      <c r="T299" s="407"/>
      <c r="U299" s="407"/>
    </row>
    <row r="300" spans="1:21" ht="42" x14ac:dyDescent="0.35">
      <c r="A300" s="408"/>
      <c r="B300" s="376" t="s">
        <v>701</v>
      </c>
      <c r="C300" s="397" t="s">
        <v>400</v>
      </c>
      <c r="D300" s="401" t="s">
        <v>702</v>
      </c>
      <c r="E300" s="406">
        <f t="shared" si="5"/>
        <v>299</v>
      </c>
      <c r="F300" s="406"/>
      <c r="G300" s="407"/>
      <c r="H300" s="407" t="s">
        <v>124</v>
      </c>
      <c r="I300" s="407"/>
      <c r="J300" s="407"/>
      <c r="K300" s="407" t="s">
        <v>124</v>
      </c>
      <c r="L300" s="407"/>
      <c r="M300" s="407"/>
      <c r="N300" s="407"/>
      <c r="O300" s="407"/>
      <c r="P300" s="417"/>
      <c r="Q300" s="417"/>
      <c r="R300" s="407"/>
      <c r="S300" s="407"/>
      <c r="T300" s="407"/>
      <c r="U300" s="407"/>
    </row>
    <row r="301" spans="1:21" ht="28" x14ac:dyDescent="0.35">
      <c r="A301" s="408"/>
      <c r="B301" s="376" t="s">
        <v>1442</v>
      </c>
      <c r="C301" s="393" t="s">
        <v>400</v>
      </c>
      <c r="D301" s="401" t="s">
        <v>1519</v>
      </c>
      <c r="E301" s="406">
        <f t="shared" si="5"/>
        <v>300</v>
      </c>
      <c r="F301" s="406"/>
      <c r="G301" s="407"/>
      <c r="H301" s="407" t="s">
        <v>124</v>
      </c>
      <c r="I301" s="407"/>
      <c r="J301" s="407"/>
      <c r="K301" s="407" t="s">
        <v>124</v>
      </c>
      <c r="L301" s="407"/>
      <c r="M301" s="407"/>
      <c r="N301" s="407"/>
      <c r="O301" s="407"/>
      <c r="P301" s="417"/>
      <c r="Q301" s="417"/>
      <c r="R301" s="407"/>
      <c r="S301" s="407"/>
      <c r="T301" s="407"/>
      <c r="U301" s="407"/>
    </row>
    <row r="302" spans="1:21" ht="28" x14ac:dyDescent="0.35">
      <c r="A302" s="408"/>
      <c r="B302" s="376" t="s">
        <v>704</v>
      </c>
      <c r="C302" s="393" t="s">
        <v>229</v>
      </c>
      <c r="D302" s="401" t="s">
        <v>705</v>
      </c>
      <c r="E302" s="406">
        <f t="shared" si="5"/>
        <v>301</v>
      </c>
      <c r="F302" s="406"/>
      <c r="G302" s="407"/>
      <c r="H302" s="407" t="s">
        <v>124</v>
      </c>
      <c r="I302" s="407"/>
      <c r="J302" s="407"/>
      <c r="K302" s="407" t="s">
        <v>124</v>
      </c>
      <c r="L302" s="407"/>
      <c r="M302" s="407"/>
      <c r="N302" s="407"/>
      <c r="O302" s="407"/>
      <c r="P302" s="417"/>
      <c r="Q302" s="417"/>
      <c r="R302" s="407"/>
      <c r="S302" s="407"/>
      <c r="T302" s="407"/>
      <c r="U302" s="407"/>
    </row>
    <row r="303" spans="1:21" ht="28" x14ac:dyDescent="0.35">
      <c r="A303" s="408"/>
      <c r="B303" s="376" t="s">
        <v>706</v>
      </c>
      <c r="C303" s="393" t="s">
        <v>400</v>
      </c>
      <c r="D303" s="401" t="s">
        <v>1520</v>
      </c>
      <c r="E303" s="406">
        <f t="shared" si="5"/>
        <v>302</v>
      </c>
      <c r="F303" s="406"/>
      <c r="G303" s="407"/>
      <c r="H303" s="407" t="s">
        <v>124</v>
      </c>
      <c r="I303" s="407"/>
      <c r="J303" s="407"/>
      <c r="K303" s="407" t="s">
        <v>124</v>
      </c>
      <c r="L303" s="407"/>
      <c r="M303" s="407"/>
      <c r="N303" s="407"/>
      <c r="O303" s="407"/>
      <c r="P303" s="417"/>
      <c r="Q303" s="417"/>
      <c r="R303" s="407"/>
      <c r="S303" s="407"/>
      <c r="T303" s="407"/>
      <c r="U303" s="407"/>
    </row>
    <row r="304" spans="1:21" x14ac:dyDescent="0.35">
      <c r="A304" s="408"/>
      <c r="B304" s="376" t="s">
        <v>707</v>
      </c>
      <c r="C304" s="393" t="s">
        <v>400</v>
      </c>
      <c r="D304" s="401" t="s">
        <v>708</v>
      </c>
      <c r="E304" s="406">
        <f t="shared" si="5"/>
        <v>303</v>
      </c>
      <c r="F304" s="406"/>
      <c r="G304" s="407"/>
      <c r="H304" s="407" t="s">
        <v>124</v>
      </c>
      <c r="I304" s="407"/>
      <c r="J304" s="407"/>
      <c r="K304" s="407" t="s">
        <v>124</v>
      </c>
      <c r="L304" s="407"/>
      <c r="M304" s="407"/>
      <c r="N304" s="407"/>
      <c r="O304" s="407"/>
      <c r="P304" s="417"/>
      <c r="Q304" s="417"/>
      <c r="R304" s="407"/>
      <c r="S304" s="407"/>
      <c r="T304" s="407"/>
      <c r="U304" s="407"/>
    </row>
    <row r="305" spans="1:21" ht="28" x14ac:dyDescent="0.35">
      <c r="A305" s="408"/>
      <c r="B305" s="376" t="s">
        <v>703</v>
      </c>
      <c r="C305" s="393" t="s">
        <v>400</v>
      </c>
      <c r="D305" s="401" t="s">
        <v>1512</v>
      </c>
      <c r="E305" s="406">
        <f t="shared" si="5"/>
        <v>304</v>
      </c>
      <c r="F305" s="406"/>
      <c r="G305" s="407"/>
      <c r="H305" s="407" t="s">
        <v>124</v>
      </c>
      <c r="I305" s="407"/>
      <c r="J305" s="407"/>
      <c r="K305" s="407" t="s">
        <v>124</v>
      </c>
      <c r="L305" s="407"/>
      <c r="M305" s="407"/>
      <c r="N305" s="407"/>
      <c r="O305" s="407"/>
      <c r="P305" s="417"/>
      <c r="Q305" s="417"/>
      <c r="R305" s="407"/>
      <c r="S305" s="407"/>
      <c r="T305" s="407"/>
      <c r="U305" s="407"/>
    </row>
    <row r="306" spans="1:21" ht="42" x14ac:dyDescent="0.35">
      <c r="A306" s="408"/>
      <c r="B306" s="1084" t="s">
        <v>2028</v>
      </c>
      <c r="C306" s="1074" t="s">
        <v>402</v>
      </c>
      <c r="D306" s="1075" t="s">
        <v>2029</v>
      </c>
      <c r="E306" s="406">
        <f t="shared" si="5"/>
        <v>305</v>
      </c>
      <c r="F306" s="406"/>
      <c r="G306" s="407"/>
      <c r="H306" s="407" t="s">
        <v>124</v>
      </c>
      <c r="I306" s="407"/>
      <c r="J306" s="407"/>
      <c r="K306" s="407" t="s">
        <v>124</v>
      </c>
      <c r="L306" s="407"/>
      <c r="M306" s="407"/>
      <c r="N306" s="407"/>
      <c r="O306" s="407"/>
      <c r="P306" s="417"/>
      <c r="Q306" s="417"/>
      <c r="R306" s="407"/>
      <c r="S306" s="407"/>
      <c r="T306" s="407"/>
      <c r="U306" s="407"/>
    </row>
    <row r="307" spans="1:21" x14ac:dyDescent="0.35">
      <c r="A307" s="408"/>
      <c r="B307" s="376" t="s">
        <v>709</v>
      </c>
      <c r="C307" s="393" t="s">
        <v>400</v>
      </c>
      <c r="D307" s="401" t="s">
        <v>1521</v>
      </c>
      <c r="E307" s="406">
        <f t="shared" si="5"/>
        <v>306</v>
      </c>
      <c r="F307" s="406"/>
      <c r="G307" s="407"/>
      <c r="H307" s="407" t="s">
        <v>124</v>
      </c>
      <c r="I307" s="407"/>
      <c r="J307" s="407"/>
      <c r="K307" s="407" t="s">
        <v>124</v>
      </c>
      <c r="L307" s="407"/>
      <c r="M307" s="407"/>
      <c r="N307" s="407"/>
      <c r="O307" s="407"/>
      <c r="P307" s="417"/>
      <c r="Q307" s="417"/>
      <c r="R307" s="407"/>
      <c r="S307" s="407"/>
      <c r="T307" s="407"/>
      <c r="U307" s="407"/>
    </row>
    <row r="308" spans="1:21" x14ac:dyDescent="0.35">
      <c r="A308" s="408"/>
      <c r="B308" s="376" t="s">
        <v>710</v>
      </c>
      <c r="C308" s="393" t="s">
        <v>400</v>
      </c>
      <c r="D308" s="401" t="s">
        <v>1522</v>
      </c>
      <c r="E308" s="406">
        <f t="shared" si="5"/>
        <v>307</v>
      </c>
      <c r="F308" s="406"/>
      <c r="G308" s="407"/>
      <c r="H308" s="407" t="s">
        <v>124</v>
      </c>
      <c r="I308" s="407"/>
      <c r="J308" s="407"/>
      <c r="K308" s="407" t="s">
        <v>124</v>
      </c>
      <c r="L308" s="407"/>
      <c r="M308" s="407"/>
      <c r="N308" s="407"/>
      <c r="O308" s="407"/>
      <c r="P308" s="417"/>
      <c r="Q308" s="417"/>
      <c r="R308" s="407"/>
      <c r="S308" s="407"/>
      <c r="T308" s="407"/>
      <c r="U308" s="407"/>
    </row>
    <row r="309" spans="1:21" ht="28" x14ac:dyDescent="0.35">
      <c r="A309" s="408"/>
      <c r="B309" s="376" t="s">
        <v>711</v>
      </c>
      <c r="C309" s="397" t="s">
        <v>400</v>
      </c>
      <c r="D309" s="401" t="s">
        <v>1523</v>
      </c>
      <c r="E309" s="406">
        <f t="shared" si="5"/>
        <v>308</v>
      </c>
      <c r="F309" s="406"/>
      <c r="G309" s="407"/>
      <c r="H309" s="407" t="s">
        <v>124</v>
      </c>
      <c r="I309" s="407"/>
      <c r="J309" s="407"/>
      <c r="K309" s="407" t="s">
        <v>124</v>
      </c>
      <c r="L309" s="407"/>
      <c r="M309" s="407"/>
      <c r="N309" s="407"/>
      <c r="O309" s="407"/>
      <c r="P309" s="417"/>
      <c r="Q309" s="417"/>
      <c r="R309" s="407"/>
      <c r="S309" s="407"/>
      <c r="T309" s="407"/>
      <c r="U309" s="407"/>
    </row>
    <row r="310" spans="1:21" x14ac:dyDescent="0.35">
      <c r="A310" s="408"/>
      <c r="B310" s="376" t="s">
        <v>1443</v>
      </c>
      <c r="C310" s="397" t="s">
        <v>400</v>
      </c>
      <c r="D310" s="401" t="s">
        <v>1511</v>
      </c>
      <c r="E310" s="406">
        <f t="shared" si="5"/>
        <v>309</v>
      </c>
      <c r="F310" s="406"/>
      <c r="G310" s="407"/>
      <c r="H310" s="407" t="s">
        <v>124</v>
      </c>
      <c r="I310" s="407"/>
      <c r="J310" s="407"/>
      <c r="K310" s="407" t="s">
        <v>124</v>
      </c>
      <c r="L310" s="407"/>
      <c r="M310" s="407"/>
      <c r="N310" s="407"/>
      <c r="O310" s="407"/>
      <c r="P310" s="417"/>
      <c r="Q310" s="417"/>
      <c r="R310" s="407"/>
      <c r="S310" s="407"/>
      <c r="T310" s="407"/>
      <c r="U310" s="407"/>
    </row>
    <row r="311" spans="1:21" x14ac:dyDescent="0.35">
      <c r="A311" s="408"/>
      <c r="B311" s="376" t="s">
        <v>1444</v>
      </c>
      <c r="C311" s="397" t="s">
        <v>402</v>
      </c>
      <c r="D311" s="401" t="s">
        <v>715</v>
      </c>
      <c r="E311" s="406">
        <f t="shared" si="5"/>
        <v>310</v>
      </c>
      <c r="F311" s="406"/>
      <c r="G311" s="407"/>
      <c r="H311" s="407" t="s">
        <v>124</v>
      </c>
      <c r="I311" s="407"/>
      <c r="J311" s="407"/>
      <c r="K311" s="407" t="s">
        <v>124</v>
      </c>
      <c r="L311" s="407"/>
      <c r="M311" s="407"/>
      <c r="N311" s="407"/>
      <c r="O311" s="407"/>
      <c r="P311" s="417"/>
      <c r="Q311" s="417"/>
      <c r="R311" s="407"/>
      <c r="S311" s="407"/>
      <c r="T311" s="407"/>
      <c r="U311" s="407"/>
    </row>
    <row r="312" spans="1:21" x14ac:dyDescent="0.35">
      <c r="A312" s="408"/>
      <c r="B312" s="376" t="s">
        <v>1445</v>
      </c>
      <c r="C312" s="397" t="s">
        <v>229</v>
      </c>
      <c r="D312" s="401" t="s">
        <v>713</v>
      </c>
      <c r="E312" s="406">
        <f t="shared" si="5"/>
        <v>311</v>
      </c>
      <c r="F312" s="406"/>
      <c r="G312" s="407"/>
      <c r="H312" s="407" t="s">
        <v>124</v>
      </c>
      <c r="I312" s="407"/>
      <c r="J312" s="407"/>
      <c r="K312" s="407" t="s">
        <v>124</v>
      </c>
      <c r="L312" s="407"/>
      <c r="M312" s="407"/>
      <c r="N312" s="407"/>
      <c r="O312" s="407"/>
      <c r="P312" s="417"/>
      <c r="Q312" s="417"/>
      <c r="R312" s="407"/>
      <c r="S312" s="407"/>
      <c r="T312" s="407"/>
      <c r="U312" s="407"/>
    </row>
    <row r="313" spans="1:21" x14ac:dyDescent="0.35">
      <c r="A313" s="408"/>
      <c r="B313" s="376" t="s">
        <v>714</v>
      </c>
      <c r="C313" s="393" t="s">
        <v>229</v>
      </c>
      <c r="D313" s="401" t="s">
        <v>715</v>
      </c>
      <c r="E313" s="406">
        <f t="shared" si="5"/>
        <v>312</v>
      </c>
      <c r="F313" s="406"/>
      <c r="G313" s="407"/>
      <c r="H313" s="407" t="s">
        <v>124</v>
      </c>
      <c r="I313" s="407"/>
      <c r="J313" s="407"/>
      <c r="K313" s="407" t="s">
        <v>124</v>
      </c>
      <c r="L313" s="407"/>
      <c r="M313" s="407"/>
      <c r="N313" s="407"/>
      <c r="O313" s="407"/>
      <c r="P313" s="417"/>
      <c r="Q313" s="417"/>
      <c r="R313" s="407"/>
      <c r="S313" s="407"/>
      <c r="T313" s="407"/>
      <c r="U313" s="407"/>
    </row>
    <row r="314" spans="1:21" x14ac:dyDescent="0.35">
      <c r="A314" s="408"/>
      <c r="B314" s="376" t="s">
        <v>712</v>
      </c>
      <c r="C314" s="393" t="s">
        <v>402</v>
      </c>
      <c r="D314" s="401" t="s">
        <v>713</v>
      </c>
      <c r="E314" s="406">
        <f t="shared" si="5"/>
        <v>313</v>
      </c>
      <c r="F314" s="406"/>
      <c r="G314" s="407"/>
      <c r="H314" s="407" t="s">
        <v>124</v>
      </c>
      <c r="I314" s="407"/>
      <c r="J314" s="407"/>
      <c r="K314" s="407" t="s">
        <v>124</v>
      </c>
      <c r="L314" s="407"/>
      <c r="M314" s="407"/>
      <c r="N314" s="407"/>
      <c r="O314" s="407"/>
      <c r="P314" s="417"/>
      <c r="Q314" s="417"/>
      <c r="R314" s="407"/>
      <c r="S314" s="407"/>
      <c r="T314" s="407"/>
      <c r="U314" s="407"/>
    </row>
    <row r="315" spans="1:21" x14ac:dyDescent="0.35">
      <c r="A315" s="408"/>
      <c r="B315" s="376" t="s">
        <v>716</v>
      </c>
      <c r="C315" s="393" t="s">
        <v>402</v>
      </c>
      <c r="D315" s="401" t="s">
        <v>715</v>
      </c>
      <c r="E315" s="406">
        <f t="shared" si="5"/>
        <v>314</v>
      </c>
      <c r="F315" s="406"/>
      <c r="G315" s="407"/>
      <c r="H315" s="407" t="s">
        <v>124</v>
      </c>
      <c r="I315" s="407"/>
      <c r="J315" s="407"/>
      <c r="K315" s="407" t="s">
        <v>124</v>
      </c>
      <c r="L315" s="407"/>
      <c r="M315" s="407"/>
      <c r="N315" s="407"/>
      <c r="O315" s="407"/>
      <c r="P315" s="417"/>
      <c r="Q315" s="417"/>
      <c r="R315" s="407"/>
      <c r="S315" s="407"/>
      <c r="T315" s="407"/>
      <c r="U315" s="407"/>
    </row>
    <row r="316" spans="1:21" x14ac:dyDescent="0.35">
      <c r="A316" s="408"/>
      <c r="B316" s="376" t="s">
        <v>1446</v>
      </c>
      <c r="C316" s="393" t="s">
        <v>402</v>
      </c>
      <c r="D316" s="401" t="s">
        <v>715</v>
      </c>
      <c r="E316" s="406">
        <f t="shared" si="5"/>
        <v>315</v>
      </c>
      <c r="F316" s="406"/>
      <c r="G316" s="407"/>
      <c r="H316" s="407" t="s">
        <v>124</v>
      </c>
      <c r="I316" s="407"/>
      <c r="J316" s="407"/>
      <c r="K316" s="407" t="s">
        <v>124</v>
      </c>
      <c r="L316" s="407"/>
      <c r="M316" s="407"/>
      <c r="N316" s="407"/>
      <c r="O316" s="407"/>
      <c r="P316" s="417"/>
      <c r="Q316" s="417"/>
      <c r="R316" s="407"/>
      <c r="S316" s="407"/>
      <c r="T316" s="407"/>
      <c r="U316" s="407"/>
    </row>
    <row r="317" spans="1:21" x14ac:dyDescent="0.35">
      <c r="A317" s="408"/>
      <c r="B317" s="376" t="s">
        <v>717</v>
      </c>
      <c r="C317" s="393" t="s">
        <v>402</v>
      </c>
      <c r="D317" s="401" t="s">
        <v>715</v>
      </c>
      <c r="E317" s="406">
        <f t="shared" si="5"/>
        <v>316</v>
      </c>
      <c r="F317" s="406"/>
      <c r="G317" s="407"/>
      <c r="H317" s="407" t="s">
        <v>124</v>
      </c>
      <c r="I317" s="407"/>
      <c r="J317" s="407"/>
      <c r="K317" s="407" t="s">
        <v>124</v>
      </c>
      <c r="L317" s="407"/>
      <c r="M317" s="407"/>
      <c r="N317" s="407"/>
      <c r="O317" s="407"/>
      <c r="P317" s="417"/>
      <c r="Q317" s="417"/>
      <c r="R317" s="407"/>
      <c r="S317" s="407"/>
      <c r="T317" s="407"/>
      <c r="U317" s="407"/>
    </row>
    <row r="318" spans="1:21" x14ac:dyDescent="0.35">
      <c r="A318" s="408"/>
      <c r="B318" s="376" t="s">
        <v>1447</v>
      </c>
      <c r="C318" s="393" t="s">
        <v>402</v>
      </c>
      <c r="D318" s="401" t="s">
        <v>1524</v>
      </c>
      <c r="E318" s="406">
        <f t="shared" si="5"/>
        <v>317</v>
      </c>
      <c r="F318" s="406"/>
      <c r="G318" s="407"/>
      <c r="H318" s="407" t="s">
        <v>124</v>
      </c>
      <c r="I318" s="407"/>
      <c r="J318" s="407"/>
      <c r="K318" s="407" t="s">
        <v>124</v>
      </c>
      <c r="L318" s="407"/>
      <c r="M318" s="407"/>
      <c r="N318" s="407"/>
      <c r="O318" s="407"/>
      <c r="P318" s="417"/>
      <c r="Q318" s="417"/>
      <c r="R318" s="407"/>
      <c r="S318" s="407"/>
      <c r="T318" s="407"/>
      <c r="U318" s="407"/>
    </row>
    <row r="319" spans="1:21" s="467" customFormat="1" ht="28" x14ac:dyDescent="0.35">
      <c r="A319" s="408"/>
      <c r="B319" s="376" t="s">
        <v>1448</v>
      </c>
      <c r="C319" s="397" t="s">
        <v>400</v>
      </c>
      <c r="D319" s="401" t="s">
        <v>1493</v>
      </c>
      <c r="E319" s="406">
        <f t="shared" si="5"/>
        <v>318</v>
      </c>
      <c r="F319" s="406"/>
      <c r="G319" s="407"/>
      <c r="H319" s="407"/>
      <c r="I319" s="407"/>
      <c r="J319" s="407"/>
      <c r="K319" s="407"/>
      <c r="L319" s="407"/>
      <c r="M319" s="407"/>
      <c r="N319" s="407"/>
      <c r="O319" s="407"/>
      <c r="P319" s="417"/>
      <c r="Q319" s="417"/>
      <c r="R319" s="407"/>
      <c r="S319" s="407"/>
      <c r="T319" s="407"/>
      <c r="U319" s="407"/>
    </row>
    <row r="320" spans="1:21" ht="28" x14ac:dyDescent="0.35">
      <c r="A320" s="408"/>
      <c r="B320" s="376" t="s">
        <v>1449</v>
      </c>
      <c r="C320" s="397" t="s">
        <v>360</v>
      </c>
      <c r="D320" s="401" t="s">
        <v>1525</v>
      </c>
      <c r="E320" s="406">
        <f t="shared" si="5"/>
        <v>319</v>
      </c>
      <c r="F320" s="406"/>
      <c r="G320" s="407"/>
      <c r="H320" s="407" t="s">
        <v>124</v>
      </c>
      <c r="I320" s="407"/>
      <c r="J320" s="407"/>
      <c r="K320" s="407" t="s">
        <v>124</v>
      </c>
      <c r="L320" s="407"/>
      <c r="M320" s="407"/>
      <c r="N320" s="407"/>
      <c r="O320" s="407"/>
      <c r="P320" s="417"/>
      <c r="Q320" s="417"/>
      <c r="R320" s="407"/>
      <c r="S320" s="407"/>
      <c r="T320" s="407"/>
      <c r="U320" s="407"/>
    </row>
    <row r="321" spans="1:21" x14ac:dyDescent="0.35">
      <c r="A321" s="408"/>
      <c r="B321" s="376" t="s">
        <v>1450</v>
      </c>
      <c r="C321" s="397" t="s">
        <v>360</v>
      </c>
      <c r="D321" s="401" t="s">
        <v>501</v>
      </c>
      <c r="E321" s="406">
        <f t="shared" si="5"/>
        <v>320</v>
      </c>
      <c r="F321" s="406"/>
      <c r="G321" s="407"/>
      <c r="H321" s="407" t="s">
        <v>124</v>
      </c>
      <c r="I321" s="407"/>
      <c r="J321" s="407"/>
      <c r="K321" s="407" t="s">
        <v>124</v>
      </c>
      <c r="L321" s="407"/>
      <c r="M321" s="407"/>
      <c r="N321" s="407"/>
      <c r="O321" s="407"/>
      <c r="P321" s="417"/>
      <c r="Q321" s="417"/>
      <c r="R321" s="407"/>
      <c r="S321" s="407"/>
      <c r="T321" s="407"/>
      <c r="U321" s="407"/>
    </row>
    <row r="322" spans="1:21" ht="28" x14ac:dyDescent="0.35">
      <c r="A322" s="408"/>
      <c r="B322" s="376" t="s">
        <v>1451</v>
      </c>
      <c r="C322" s="397" t="s">
        <v>360</v>
      </c>
      <c r="D322" s="401" t="s">
        <v>1494</v>
      </c>
      <c r="E322" s="406">
        <f t="shared" si="5"/>
        <v>321</v>
      </c>
      <c r="F322" s="406"/>
      <c r="G322" s="407"/>
      <c r="H322" s="407" t="s">
        <v>124</v>
      </c>
      <c r="I322" s="407"/>
      <c r="J322" s="407"/>
      <c r="K322" s="407" t="s">
        <v>124</v>
      </c>
      <c r="L322" s="407"/>
      <c r="M322" s="407"/>
      <c r="N322" s="407"/>
      <c r="O322" s="407"/>
      <c r="P322" s="417"/>
      <c r="Q322" s="417"/>
      <c r="R322" s="407"/>
      <c r="S322" s="407"/>
      <c r="T322" s="407"/>
      <c r="U322" s="407"/>
    </row>
    <row r="323" spans="1:21" x14ac:dyDescent="0.35">
      <c r="A323" s="408"/>
      <c r="B323" s="376" t="s">
        <v>1452</v>
      </c>
      <c r="C323" s="397" t="s">
        <v>360</v>
      </c>
      <c r="D323" s="401" t="s">
        <v>504</v>
      </c>
      <c r="E323" s="406">
        <f t="shared" si="5"/>
        <v>322</v>
      </c>
      <c r="F323" s="406"/>
      <c r="G323" s="407"/>
      <c r="H323" s="407" t="s">
        <v>124</v>
      </c>
      <c r="I323" s="407"/>
      <c r="J323" s="407"/>
      <c r="K323" s="407" t="s">
        <v>124</v>
      </c>
      <c r="L323" s="407"/>
      <c r="M323" s="407"/>
      <c r="N323" s="407"/>
      <c r="O323" s="407"/>
      <c r="P323" s="417"/>
      <c r="Q323" s="417"/>
      <c r="R323" s="407"/>
      <c r="S323" s="407"/>
      <c r="T323" s="407"/>
      <c r="U323" s="407"/>
    </row>
    <row r="324" spans="1:21" x14ac:dyDescent="0.35">
      <c r="A324" s="408"/>
      <c r="B324" s="376" t="s">
        <v>720</v>
      </c>
      <c r="C324" s="393" t="s">
        <v>402</v>
      </c>
      <c r="D324" s="401" t="s">
        <v>721</v>
      </c>
      <c r="E324" s="406">
        <f t="shared" si="5"/>
        <v>323</v>
      </c>
      <c r="F324" s="406"/>
      <c r="G324" s="407"/>
      <c r="H324" s="407" t="s">
        <v>124</v>
      </c>
      <c r="I324" s="407"/>
      <c r="J324" s="407"/>
      <c r="K324" s="407" t="s">
        <v>124</v>
      </c>
      <c r="L324" s="407"/>
      <c r="M324" s="407"/>
      <c r="N324" s="407"/>
      <c r="O324" s="407"/>
      <c r="P324" s="417"/>
      <c r="Q324" s="417"/>
      <c r="R324" s="407"/>
      <c r="S324" s="407"/>
      <c r="T324" s="407"/>
      <c r="U324" s="407"/>
    </row>
    <row r="325" spans="1:21" ht="28" x14ac:dyDescent="0.35">
      <c r="A325" s="408"/>
      <c r="B325" s="376" t="s">
        <v>718</v>
      </c>
      <c r="C325" s="393" t="s">
        <v>360</v>
      </c>
      <c r="D325" s="401" t="s">
        <v>719</v>
      </c>
      <c r="E325" s="406">
        <f t="shared" si="5"/>
        <v>324</v>
      </c>
      <c r="F325" s="406"/>
      <c r="G325" s="407"/>
      <c r="H325" s="407" t="s">
        <v>124</v>
      </c>
      <c r="I325" s="407"/>
      <c r="J325" s="407"/>
      <c r="K325" s="407" t="s">
        <v>124</v>
      </c>
      <c r="L325" s="407"/>
      <c r="M325" s="407"/>
      <c r="N325" s="407"/>
      <c r="O325" s="407"/>
      <c r="P325" s="417"/>
      <c r="Q325" s="417"/>
      <c r="R325" s="407"/>
      <c r="S325" s="407"/>
      <c r="T325" s="407"/>
      <c r="U325" s="407"/>
    </row>
    <row r="326" spans="1:21" ht="28" x14ac:dyDescent="0.35">
      <c r="A326" s="408"/>
      <c r="B326" s="376" t="s">
        <v>722</v>
      </c>
      <c r="C326" s="393" t="s">
        <v>402</v>
      </c>
      <c r="D326" s="401" t="s">
        <v>1526</v>
      </c>
      <c r="E326" s="406">
        <f t="shared" si="5"/>
        <v>325</v>
      </c>
      <c r="F326" s="406"/>
      <c r="G326" s="407"/>
      <c r="H326" s="407" t="s">
        <v>124</v>
      </c>
      <c r="I326" s="407"/>
      <c r="J326" s="407"/>
      <c r="K326" s="407" t="s">
        <v>124</v>
      </c>
      <c r="L326" s="407"/>
      <c r="M326" s="407"/>
      <c r="N326" s="407"/>
      <c r="O326" s="407"/>
      <c r="P326" s="417"/>
      <c r="Q326" s="417"/>
      <c r="R326" s="407"/>
      <c r="S326" s="407"/>
      <c r="T326" s="407"/>
      <c r="U326" s="407"/>
    </row>
    <row r="327" spans="1:21" ht="28" x14ac:dyDescent="0.35">
      <c r="A327" s="408"/>
      <c r="B327" s="376" t="s">
        <v>1453</v>
      </c>
      <c r="C327" s="393" t="s">
        <v>402</v>
      </c>
      <c r="D327" s="401" t="s">
        <v>1527</v>
      </c>
      <c r="E327" s="406">
        <f t="shared" si="5"/>
        <v>326</v>
      </c>
      <c r="F327" s="406"/>
      <c r="G327" s="407"/>
      <c r="H327" s="407" t="s">
        <v>124</v>
      </c>
      <c r="I327" s="407"/>
      <c r="J327" s="407"/>
      <c r="K327" s="407" t="s">
        <v>124</v>
      </c>
      <c r="L327" s="407"/>
      <c r="M327" s="407"/>
      <c r="N327" s="407"/>
      <c r="O327" s="407"/>
      <c r="P327" s="417"/>
      <c r="Q327" s="417"/>
      <c r="R327" s="407"/>
      <c r="S327" s="407"/>
      <c r="T327" s="407"/>
      <c r="U327" s="407"/>
    </row>
    <row r="328" spans="1:21" x14ac:dyDescent="0.35">
      <c r="A328" s="408"/>
      <c r="B328" s="376" t="s">
        <v>723</v>
      </c>
      <c r="C328" s="393" t="s">
        <v>360</v>
      </c>
      <c r="D328" s="401" t="s">
        <v>724</v>
      </c>
      <c r="E328" s="406">
        <f t="shared" si="5"/>
        <v>327</v>
      </c>
      <c r="F328" s="406"/>
      <c r="G328" s="407"/>
      <c r="H328" s="407" t="s">
        <v>124</v>
      </c>
      <c r="I328" s="407"/>
      <c r="J328" s="407"/>
      <c r="K328" s="407" t="s">
        <v>124</v>
      </c>
      <c r="L328" s="407"/>
      <c r="M328" s="407"/>
      <c r="N328" s="407"/>
      <c r="O328" s="407"/>
      <c r="P328" s="417"/>
      <c r="Q328" s="417"/>
      <c r="R328" s="407"/>
      <c r="S328" s="407"/>
      <c r="T328" s="407"/>
      <c r="U328" s="407"/>
    </row>
    <row r="329" spans="1:21" x14ac:dyDescent="0.35">
      <c r="A329" s="408"/>
      <c r="B329" s="376" t="s">
        <v>725</v>
      </c>
      <c r="C329" s="393" t="s">
        <v>360</v>
      </c>
      <c r="D329" s="401" t="s">
        <v>726</v>
      </c>
      <c r="E329" s="406">
        <f t="shared" si="5"/>
        <v>328</v>
      </c>
      <c r="F329" s="406"/>
      <c r="G329" s="407"/>
      <c r="H329" s="407" t="s">
        <v>124</v>
      </c>
      <c r="I329" s="407"/>
      <c r="J329" s="407"/>
      <c r="K329" s="407" t="s">
        <v>124</v>
      </c>
      <c r="L329" s="407"/>
      <c r="M329" s="407"/>
      <c r="N329" s="407"/>
      <c r="O329" s="407"/>
      <c r="P329" s="417"/>
      <c r="Q329" s="417"/>
      <c r="R329" s="407"/>
      <c r="S329" s="407"/>
      <c r="T329" s="407"/>
      <c r="U329" s="407"/>
    </row>
    <row r="330" spans="1:21" x14ac:dyDescent="0.35">
      <c r="A330" s="408"/>
      <c r="B330" s="376" t="s">
        <v>727</v>
      </c>
      <c r="C330" s="393" t="s">
        <v>360</v>
      </c>
      <c r="D330" s="401" t="s">
        <v>728</v>
      </c>
      <c r="E330" s="406">
        <f t="shared" si="5"/>
        <v>329</v>
      </c>
      <c r="F330" s="406"/>
      <c r="G330" s="407"/>
      <c r="H330" s="407" t="s">
        <v>124</v>
      </c>
      <c r="I330" s="407"/>
      <c r="J330" s="407"/>
      <c r="K330" s="407" t="s">
        <v>124</v>
      </c>
      <c r="L330" s="407"/>
      <c r="M330" s="407"/>
      <c r="N330" s="407"/>
      <c r="O330" s="407"/>
      <c r="P330" s="417"/>
      <c r="Q330" s="417"/>
      <c r="R330" s="407"/>
      <c r="S330" s="407"/>
      <c r="T330" s="407"/>
      <c r="U330" s="407"/>
    </row>
    <row r="331" spans="1:21" x14ac:dyDescent="0.35">
      <c r="A331" s="408"/>
      <c r="B331" s="376" t="s">
        <v>729</v>
      </c>
      <c r="C331" s="393" t="s">
        <v>360</v>
      </c>
      <c r="D331" s="401" t="s">
        <v>730</v>
      </c>
      <c r="E331" s="406">
        <f t="shared" si="5"/>
        <v>330</v>
      </c>
      <c r="F331" s="406"/>
      <c r="G331" s="407"/>
      <c r="H331" s="407" t="s">
        <v>124</v>
      </c>
      <c r="I331" s="407"/>
      <c r="J331" s="407"/>
      <c r="K331" s="407" t="s">
        <v>124</v>
      </c>
      <c r="L331" s="407"/>
      <c r="M331" s="407"/>
      <c r="N331" s="407"/>
      <c r="O331" s="407"/>
      <c r="P331" s="417"/>
      <c r="Q331" s="417"/>
      <c r="R331" s="407"/>
      <c r="S331" s="407"/>
      <c r="T331" s="407"/>
      <c r="U331" s="407"/>
    </row>
    <row r="332" spans="1:21" x14ac:dyDescent="0.35">
      <c r="A332" s="408"/>
      <c r="B332" s="376" t="s">
        <v>731</v>
      </c>
      <c r="C332" s="393" t="s">
        <v>402</v>
      </c>
      <c r="D332" s="401" t="s">
        <v>1528</v>
      </c>
      <c r="E332" s="406">
        <f t="shared" si="5"/>
        <v>331</v>
      </c>
      <c r="F332" s="406"/>
      <c r="G332" s="407"/>
      <c r="H332" s="407" t="s">
        <v>124</v>
      </c>
      <c r="I332" s="407"/>
      <c r="J332" s="407"/>
      <c r="K332" s="407" t="s">
        <v>124</v>
      </c>
      <c r="L332" s="407"/>
      <c r="M332" s="407"/>
      <c r="N332" s="407"/>
      <c r="O332" s="407"/>
      <c r="P332" s="417"/>
      <c r="Q332" s="417"/>
      <c r="R332" s="407"/>
      <c r="S332" s="407"/>
      <c r="T332" s="407"/>
      <c r="U332" s="407"/>
    </row>
    <row r="333" spans="1:21" s="467" customFormat="1" ht="28" x14ac:dyDescent="0.35">
      <c r="A333" s="408"/>
      <c r="B333" s="376" t="s">
        <v>732</v>
      </c>
      <c r="C333" s="399" t="s">
        <v>360</v>
      </c>
      <c r="D333" s="401" t="s">
        <v>733</v>
      </c>
      <c r="E333" s="406">
        <f t="shared" si="5"/>
        <v>332</v>
      </c>
      <c r="F333" s="406"/>
      <c r="G333" s="407"/>
      <c r="H333" s="407"/>
      <c r="I333" s="407"/>
      <c r="J333" s="407"/>
      <c r="K333" s="407"/>
      <c r="L333" s="407"/>
      <c r="M333" s="407"/>
      <c r="N333" s="407"/>
      <c r="O333" s="407"/>
      <c r="P333" s="417"/>
      <c r="Q333" s="417"/>
      <c r="R333" s="407"/>
      <c r="S333" s="407"/>
      <c r="T333" s="407"/>
      <c r="U333" s="407"/>
    </row>
    <row r="334" spans="1:21" x14ac:dyDescent="0.35">
      <c r="A334" s="408"/>
      <c r="B334" s="376" t="s">
        <v>734</v>
      </c>
      <c r="C334" s="399" t="s">
        <v>360</v>
      </c>
      <c r="D334" s="401" t="s">
        <v>735</v>
      </c>
      <c r="E334" s="406">
        <f t="shared" si="5"/>
        <v>333</v>
      </c>
      <c r="F334" s="406"/>
      <c r="G334" s="407"/>
      <c r="H334" s="407" t="s">
        <v>124</v>
      </c>
      <c r="I334" s="407"/>
      <c r="J334" s="407"/>
      <c r="K334" s="407" t="s">
        <v>124</v>
      </c>
      <c r="L334" s="407"/>
      <c r="M334" s="407"/>
      <c r="N334" s="407"/>
      <c r="O334" s="407"/>
      <c r="P334" s="417"/>
      <c r="Q334" s="417"/>
      <c r="R334" s="407"/>
      <c r="S334" s="407"/>
      <c r="T334" s="407"/>
      <c r="U334" s="407"/>
    </row>
    <row r="335" spans="1:21" x14ac:dyDescent="0.35">
      <c r="A335" s="408"/>
      <c r="B335" s="376" t="s">
        <v>736</v>
      </c>
      <c r="C335" s="399" t="s">
        <v>360</v>
      </c>
      <c r="D335" s="401" t="s">
        <v>737</v>
      </c>
      <c r="E335" s="406">
        <f t="shared" si="5"/>
        <v>334</v>
      </c>
      <c r="F335" s="406"/>
      <c r="G335" s="407"/>
      <c r="H335" s="407" t="s">
        <v>124</v>
      </c>
      <c r="I335" s="407"/>
      <c r="J335" s="407"/>
      <c r="K335" s="407" t="s">
        <v>124</v>
      </c>
      <c r="L335" s="407"/>
      <c r="M335" s="407"/>
      <c r="N335" s="407"/>
      <c r="O335" s="407"/>
      <c r="P335" s="417"/>
      <c r="Q335" s="417"/>
      <c r="R335" s="407"/>
      <c r="S335" s="407"/>
      <c r="T335" s="407"/>
      <c r="U335" s="407"/>
    </row>
    <row r="336" spans="1:21" x14ac:dyDescent="0.35">
      <c r="A336" s="408"/>
      <c r="B336" s="376" t="s">
        <v>738</v>
      </c>
      <c r="C336" s="399" t="s">
        <v>360</v>
      </c>
      <c r="D336" s="401" t="s">
        <v>739</v>
      </c>
      <c r="E336" s="406">
        <f t="shared" si="5"/>
        <v>335</v>
      </c>
      <c r="F336" s="406"/>
      <c r="G336" s="407"/>
      <c r="H336" s="407" t="s">
        <v>124</v>
      </c>
      <c r="I336" s="407"/>
      <c r="J336" s="407"/>
      <c r="K336" s="407" t="s">
        <v>124</v>
      </c>
      <c r="L336" s="407"/>
      <c r="M336" s="407"/>
      <c r="N336" s="407"/>
      <c r="O336" s="407"/>
      <c r="P336" s="417"/>
      <c r="Q336" s="417"/>
      <c r="R336" s="407"/>
      <c r="S336" s="407"/>
      <c r="T336" s="407"/>
      <c r="U336" s="407"/>
    </row>
    <row r="337" spans="1:21" ht="28" x14ac:dyDescent="0.35">
      <c r="A337" s="408"/>
      <c r="B337" s="376" t="s">
        <v>740</v>
      </c>
      <c r="C337" s="399" t="s">
        <v>360</v>
      </c>
      <c r="D337" s="401" t="s">
        <v>741</v>
      </c>
      <c r="E337" s="406">
        <f t="shared" si="5"/>
        <v>336</v>
      </c>
      <c r="F337" s="406"/>
      <c r="G337" s="407"/>
      <c r="H337" s="407" t="s">
        <v>124</v>
      </c>
      <c r="I337" s="407"/>
      <c r="J337" s="407"/>
      <c r="K337" s="407" t="s">
        <v>124</v>
      </c>
      <c r="L337" s="407"/>
      <c r="M337" s="407"/>
      <c r="N337" s="407"/>
      <c r="O337" s="407"/>
      <c r="P337" s="417"/>
      <c r="Q337" s="417"/>
      <c r="R337" s="407"/>
      <c r="S337" s="407"/>
      <c r="T337" s="407"/>
      <c r="U337" s="407"/>
    </row>
    <row r="338" spans="1:21" ht="28" x14ac:dyDescent="0.35">
      <c r="A338" s="408"/>
      <c r="B338" s="1084" t="s">
        <v>2030</v>
      </c>
      <c r="C338" s="1086" t="s">
        <v>402</v>
      </c>
      <c r="D338" s="1075" t="s">
        <v>2031</v>
      </c>
      <c r="E338" s="406">
        <f t="shared" si="5"/>
        <v>337</v>
      </c>
      <c r="F338" s="406"/>
      <c r="G338" s="407"/>
      <c r="H338" s="407" t="s">
        <v>124</v>
      </c>
      <c r="I338" s="407"/>
      <c r="J338" s="407"/>
      <c r="K338" s="407" t="s">
        <v>124</v>
      </c>
      <c r="L338" s="407"/>
      <c r="M338" s="407"/>
      <c r="N338" s="407"/>
      <c r="O338" s="407"/>
      <c r="P338" s="417"/>
      <c r="Q338" s="417"/>
      <c r="R338" s="407"/>
      <c r="S338" s="407"/>
      <c r="T338" s="407"/>
      <c r="U338" s="407"/>
    </row>
    <row r="339" spans="1:21" ht="28" x14ac:dyDescent="0.35">
      <c r="A339" s="408"/>
      <c r="B339" s="376" t="s">
        <v>1454</v>
      </c>
      <c r="C339" s="396" t="s">
        <v>360</v>
      </c>
      <c r="D339" s="401" t="s">
        <v>733</v>
      </c>
      <c r="E339" s="406">
        <f t="shared" si="5"/>
        <v>338</v>
      </c>
      <c r="F339" s="406"/>
      <c r="G339" s="407"/>
      <c r="H339" s="407" t="s">
        <v>124</v>
      </c>
      <c r="I339" s="407"/>
      <c r="J339" s="407"/>
      <c r="K339" s="407" t="s">
        <v>124</v>
      </c>
      <c r="L339" s="407"/>
      <c r="M339" s="407"/>
      <c r="N339" s="407"/>
      <c r="O339" s="407"/>
      <c r="P339" s="417"/>
      <c r="Q339" s="417"/>
      <c r="R339" s="407"/>
      <c r="S339" s="407"/>
      <c r="T339" s="407"/>
      <c r="U339" s="407"/>
    </row>
    <row r="340" spans="1:21" ht="28" x14ac:dyDescent="0.35">
      <c r="A340" s="408"/>
      <c r="B340" s="376" t="s">
        <v>1455</v>
      </c>
      <c r="C340" s="396" t="s">
        <v>360</v>
      </c>
      <c r="D340" s="401" t="s">
        <v>733</v>
      </c>
      <c r="E340" s="406">
        <f t="shared" si="5"/>
        <v>339</v>
      </c>
      <c r="F340" s="406"/>
      <c r="G340" s="407"/>
      <c r="H340" s="407" t="s">
        <v>124</v>
      </c>
      <c r="I340" s="407"/>
      <c r="J340" s="407"/>
      <c r="K340" s="407" t="s">
        <v>124</v>
      </c>
      <c r="L340" s="407"/>
      <c r="M340" s="407"/>
      <c r="N340" s="407"/>
      <c r="O340" s="407"/>
      <c r="P340" s="417"/>
      <c r="Q340" s="417"/>
      <c r="R340" s="407"/>
      <c r="S340" s="407"/>
      <c r="T340" s="407"/>
      <c r="U340" s="407"/>
    </row>
    <row r="341" spans="1:21" x14ac:dyDescent="0.35">
      <c r="A341" s="408"/>
      <c r="B341" s="376" t="s">
        <v>1456</v>
      </c>
      <c r="C341" s="396" t="s">
        <v>360</v>
      </c>
      <c r="D341" s="401" t="s">
        <v>735</v>
      </c>
      <c r="E341" s="406">
        <f t="shared" si="5"/>
        <v>340</v>
      </c>
      <c r="F341" s="406"/>
      <c r="G341" s="407"/>
      <c r="H341" s="407" t="s">
        <v>124</v>
      </c>
      <c r="I341" s="407"/>
      <c r="J341" s="407"/>
      <c r="K341" s="407" t="s">
        <v>124</v>
      </c>
      <c r="L341" s="407"/>
      <c r="M341" s="407"/>
      <c r="N341" s="407"/>
      <c r="O341" s="407"/>
      <c r="P341" s="417"/>
      <c r="Q341" s="417"/>
      <c r="R341" s="407"/>
      <c r="S341" s="407"/>
      <c r="T341" s="407"/>
      <c r="U341" s="407"/>
    </row>
    <row r="342" spans="1:21" x14ac:dyDescent="0.35">
      <c r="A342" s="408"/>
      <c r="B342" s="376" t="s">
        <v>1457</v>
      </c>
      <c r="C342" s="396" t="s">
        <v>360</v>
      </c>
      <c r="D342" s="401" t="s">
        <v>737</v>
      </c>
      <c r="E342" s="406">
        <f t="shared" si="5"/>
        <v>341</v>
      </c>
      <c r="F342" s="406"/>
      <c r="G342" s="407"/>
      <c r="H342" s="407" t="s">
        <v>124</v>
      </c>
      <c r="I342" s="407"/>
      <c r="J342" s="407"/>
      <c r="K342" s="407" t="s">
        <v>124</v>
      </c>
      <c r="L342" s="407"/>
      <c r="M342" s="407"/>
      <c r="N342" s="407"/>
      <c r="O342" s="407"/>
      <c r="P342" s="417"/>
      <c r="Q342" s="417"/>
      <c r="R342" s="407"/>
      <c r="S342" s="407"/>
      <c r="T342" s="407"/>
      <c r="U342" s="407"/>
    </row>
    <row r="343" spans="1:21" x14ac:dyDescent="0.35">
      <c r="A343" s="408"/>
      <c r="B343" s="376" t="s">
        <v>1458</v>
      </c>
      <c r="C343" s="396" t="s">
        <v>360</v>
      </c>
      <c r="D343" s="401" t="s">
        <v>739</v>
      </c>
      <c r="E343" s="406">
        <f t="shared" si="5"/>
        <v>342</v>
      </c>
      <c r="F343" s="406"/>
      <c r="G343" s="407"/>
      <c r="H343" s="407" t="s">
        <v>124</v>
      </c>
      <c r="I343" s="407"/>
      <c r="J343" s="407"/>
      <c r="K343" s="407" t="s">
        <v>124</v>
      </c>
      <c r="L343" s="407"/>
      <c r="M343" s="407"/>
      <c r="N343" s="407"/>
      <c r="O343" s="407"/>
      <c r="P343" s="417"/>
      <c r="Q343" s="417"/>
      <c r="R343" s="407"/>
      <c r="S343" s="407"/>
      <c r="T343" s="407"/>
      <c r="U343" s="407"/>
    </row>
    <row r="344" spans="1:21" ht="28" x14ac:dyDescent="0.35">
      <c r="A344" s="408"/>
      <c r="B344" s="376" t="s">
        <v>1459</v>
      </c>
      <c r="C344" s="396" t="s">
        <v>360</v>
      </c>
      <c r="D344" s="401" t="s">
        <v>733</v>
      </c>
      <c r="E344" s="406">
        <f t="shared" si="5"/>
        <v>343</v>
      </c>
      <c r="F344" s="406"/>
      <c r="G344" s="407"/>
      <c r="H344" s="407" t="s">
        <v>124</v>
      </c>
      <c r="I344" s="407"/>
      <c r="J344" s="407"/>
      <c r="K344" s="407" t="s">
        <v>124</v>
      </c>
      <c r="L344" s="407"/>
      <c r="M344" s="407"/>
      <c r="N344" s="407"/>
      <c r="O344" s="407"/>
      <c r="P344" s="417"/>
      <c r="Q344" s="417"/>
      <c r="R344" s="407"/>
      <c r="S344" s="407"/>
      <c r="T344" s="407"/>
      <c r="U344" s="407"/>
    </row>
    <row r="345" spans="1:21" x14ac:dyDescent="0.35">
      <c r="A345" s="408"/>
      <c r="B345" s="376" t="s">
        <v>1460</v>
      </c>
      <c r="C345" s="396" t="s">
        <v>360</v>
      </c>
      <c r="D345" s="401" t="s">
        <v>737</v>
      </c>
      <c r="E345" s="406">
        <f t="shared" si="5"/>
        <v>344</v>
      </c>
      <c r="F345" s="406"/>
      <c r="G345" s="407"/>
      <c r="H345" s="407" t="s">
        <v>124</v>
      </c>
      <c r="I345" s="407"/>
      <c r="J345" s="407"/>
      <c r="K345" s="407" t="s">
        <v>124</v>
      </c>
      <c r="L345" s="407"/>
      <c r="M345" s="407"/>
      <c r="N345" s="407"/>
      <c r="O345" s="407"/>
      <c r="P345" s="417"/>
      <c r="Q345" s="417"/>
      <c r="R345" s="407"/>
      <c r="S345" s="407"/>
      <c r="T345" s="407"/>
      <c r="U345" s="407"/>
    </row>
    <row r="346" spans="1:21" x14ac:dyDescent="0.35">
      <c r="A346" s="408"/>
      <c r="B346" s="376" t="s">
        <v>1461</v>
      </c>
      <c r="C346" s="396" t="s">
        <v>360</v>
      </c>
      <c r="D346" s="401" t="s">
        <v>739</v>
      </c>
      <c r="E346" s="406">
        <f t="shared" si="5"/>
        <v>345</v>
      </c>
      <c r="F346" s="406"/>
      <c r="G346" s="407"/>
      <c r="H346" s="407" t="s">
        <v>124</v>
      </c>
      <c r="I346" s="407"/>
      <c r="J346" s="407"/>
      <c r="K346" s="407" t="s">
        <v>124</v>
      </c>
      <c r="L346" s="407"/>
      <c r="M346" s="407"/>
      <c r="N346" s="407"/>
      <c r="O346" s="407"/>
      <c r="P346" s="417"/>
      <c r="Q346" s="417"/>
      <c r="R346" s="407"/>
      <c r="S346" s="407"/>
      <c r="T346" s="407"/>
      <c r="U346" s="407"/>
    </row>
    <row r="347" spans="1:21" ht="28" x14ac:dyDescent="0.35">
      <c r="A347" s="408"/>
      <c r="B347" s="376" t="s">
        <v>1462</v>
      </c>
      <c r="C347" s="396" t="s">
        <v>360</v>
      </c>
      <c r="D347" s="401" t="s">
        <v>733</v>
      </c>
      <c r="E347" s="406">
        <f t="shared" si="5"/>
        <v>346</v>
      </c>
      <c r="F347" s="406"/>
      <c r="G347" s="407"/>
      <c r="H347" s="407" t="s">
        <v>124</v>
      </c>
      <c r="I347" s="407"/>
      <c r="J347" s="407"/>
      <c r="K347" s="407" t="s">
        <v>124</v>
      </c>
      <c r="L347" s="407"/>
      <c r="M347" s="407"/>
      <c r="N347" s="407"/>
      <c r="O347" s="407"/>
      <c r="P347" s="417"/>
      <c r="Q347" s="417"/>
      <c r="R347" s="407"/>
      <c r="S347" s="407"/>
      <c r="T347" s="407"/>
      <c r="U347" s="407"/>
    </row>
    <row r="348" spans="1:21" ht="28" x14ac:dyDescent="0.35">
      <c r="A348" s="408"/>
      <c r="B348" s="376" t="s">
        <v>1463</v>
      </c>
      <c r="C348" s="396" t="s">
        <v>360</v>
      </c>
      <c r="D348" s="401" t="s">
        <v>733</v>
      </c>
      <c r="E348" s="406">
        <f t="shared" si="5"/>
        <v>347</v>
      </c>
      <c r="F348" s="406"/>
      <c r="G348" s="407"/>
      <c r="H348" s="407" t="s">
        <v>124</v>
      </c>
      <c r="I348" s="407"/>
      <c r="J348" s="407"/>
      <c r="K348" s="407" t="s">
        <v>124</v>
      </c>
      <c r="L348" s="407"/>
      <c r="M348" s="407"/>
      <c r="N348" s="407"/>
      <c r="O348" s="407"/>
      <c r="P348" s="417"/>
      <c r="Q348" s="417"/>
      <c r="R348" s="407"/>
      <c r="S348" s="407"/>
      <c r="T348" s="407"/>
      <c r="U348" s="407"/>
    </row>
    <row r="349" spans="1:21" x14ac:dyDescent="0.35">
      <c r="A349" s="408"/>
      <c r="B349" s="376" t="s">
        <v>1464</v>
      </c>
      <c r="C349" s="396" t="s">
        <v>360</v>
      </c>
      <c r="D349" s="401" t="s">
        <v>735</v>
      </c>
      <c r="E349" s="406">
        <f t="shared" si="5"/>
        <v>348</v>
      </c>
      <c r="F349" s="406"/>
      <c r="G349" s="407"/>
      <c r="H349" s="407" t="s">
        <v>124</v>
      </c>
      <c r="I349" s="407"/>
      <c r="J349" s="407"/>
      <c r="K349" s="407" t="s">
        <v>124</v>
      </c>
      <c r="L349" s="407"/>
      <c r="M349" s="407"/>
      <c r="N349" s="407"/>
      <c r="O349" s="407"/>
      <c r="P349" s="417"/>
      <c r="Q349" s="417"/>
      <c r="R349" s="407"/>
      <c r="S349" s="407"/>
      <c r="T349" s="407"/>
      <c r="U349" s="407"/>
    </row>
    <row r="350" spans="1:21" x14ac:dyDescent="0.35">
      <c r="A350" s="408"/>
      <c r="B350" s="376" t="s">
        <v>1465</v>
      </c>
      <c r="C350" s="396" t="s">
        <v>360</v>
      </c>
      <c r="D350" s="401" t="s">
        <v>737</v>
      </c>
      <c r="E350" s="406">
        <f t="shared" si="5"/>
        <v>349</v>
      </c>
      <c r="F350" s="406"/>
      <c r="G350" s="407"/>
      <c r="H350" s="407" t="s">
        <v>124</v>
      </c>
      <c r="I350" s="407"/>
      <c r="J350" s="407"/>
      <c r="K350" s="407" t="s">
        <v>124</v>
      </c>
      <c r="L350" s="407"/>
      <c r="M350" s="407"/>
      <c r="N350" s="407"/>
      <c r="O350" s="407"/>
      <c r="P350" s="417"/>
      <c r="Q350" s="417"/>
      <c r="R350" s="407"/>
      <c r="S350" s="407"/>
      <c r="T350" s="407"/>
      <c r="U350" s="407"/>
    </row>
    <row r="351" spans="1:21" x14ac:dyDescent="0.35">
      <c r="A351" s="408"/>
      <c r="B351" s="376" t="s">
        <v>1466</v>
      </c>
      <c r="C351" s="396" t="s">
        <v>360</v>
      </c>
      <c r="D351" s="401" t="s">
        <v>739</v>
      </c>
      <c r="E351" s="406">
        <f t="shared" si="5"/>
        <v>350</v>
      </c>
      <c r="F351" s="406"/>
      <c r="G351" s="407"/>
      <c r="H351" s="407" t="s">
        <v>124</v>
      </c>
      <c r="I351" s="407"/>
      <c r="J351" s="407"/>
      <c r="K351" s="407" t="s">
        <v>124</v>
      </c>
      <c r="L351" s="407"/>
      <c r="M351" s="407"/>
      <c r="N351" s="407"/>
      <c r="O351" s="407"/>
      <c r="P351" s="417"/>
      <c r="Q351" s="417"/>
      <c r="R351" s="407"/>
      <c r="S351" s="407"/>
      <c r="T351" s="407"/>
      <c r="U351" s="407"/>
    </row>
    <row r="352" spans="1:21" ht="28" x14ac:dyDescent="0.35">
      <c r="A352" s="408"/>
      <c r="B352" s="1084" t="s">
        <v>2032</v>
      </c>
      <c r="C352" s="1086" t="s">
        <v>402</v>
      </c>
      <c r="D352" s="1075" t="s">
        <v>2031</v>
      </c>
      <c r="E352" s="406">
        <f t="shared" ref="E352:E412" si="6">E351+1</f>
        <v>351</v>
      </c>
      <c r="F352" s="406"/>
      <c r="G352" s="407"/>
      <c r="H352" s="407" t="s">
        <v>124</v>
      </c>
      <c r="I352" s="407"/>
      <c r="J352" s="407"/>
      <c r="K352" s="407" t="s">
        <v>124</v>
      </c>
      <c r="L352" s="407"/>
      <c r="M352" s="407"/>
      <c r="N352" s="407"/>
      <c r="O352" s="407"/>
      <c r="P352" s="417"/>
      <c r="Q352" s="417"/>
      <c r="R352" s="407"/>
      <c r="S352" s="407"/>
      <c r="T352" s="407"/>
      <c r="U352" s="407"/>
    </row>
    <row r="353" spans="1:21" ht="28" x14ac:dyDescent="0.35">
      <c r="A353" s="408"/>
      <c r="B353" s="376" t="s">
        <v>1467</v>
      </c>
      <c r="C353" s="396" t="s">
        <v>360</v>
      </c>
      <c r="D353" s="401" t="s">
        <v>733</v>
      </c>
      <c r="E353" s="406">
        <f t="shared" si="6"/>
        <v>352</v>
      </c>
      <c r="F353" s="406"/>
      <c r="G353" s="407"/>
      <c r="H353" s="407" t="s">
        <v>124</v>
      </c>
      <c r="I353" s="407"/>
      <c r="J353" s="407"/>
      <c r="K353" s="407" t="s">
        <v>124</v>
      </c>
      <c r="L353" s="407"/>
      <c r="M353" s="407"/>
      <c r="N353" s="407"/>
      <c r="O353" s="407"/>
      <c r="P353" s="417"/>
      <c r="Q353" s="417"/>
      <c r="R353" s="407"/>
      <c r="S353" s="407"/>
      <c r="T353" s="407"/>
      <c r="U353" s="407"/>
    </row>
    <row r="354" spans="1:21" x14ac:dyDescent="0.35">
      <c r="A354" s="408"/>
      <c r="B354" s="376" t="s">
        <v>1468</v>
      </c>
      <c r="C354" s="396" t="s">
        <v>360</v>
      </c>
      <c r="D354" s="401" t="s">
        <v>735</v>
      </c>
      <c r="E354" s="406">
        <f t="shared" si="6"/>
        <v>353</v>
      </c>
      <c r="F354" s="406"/>
      <c r="G354" s="407"/>
      <c r="H354" s="407" t="s">
        <v>124</v>
      </c>
      <c r="I354" s="407"/>
      <c r="J354" s="407"/>
      <c r="K354" s="407" t="s">
        <v>124</v>
      </c>
      <c r="L354" s="407"/>
      <c r="M354" s="407"/>
      <c r="N354" s="407"/>
      <c r="O354" s="407"/>
      <c r="P354" s="417"/>
      <c r="Q354" s="417"/>
      <c r="R354" s="407"/>
      <c r="S354" s="407"/>
      <c r="T354" s="407"/>
      <c r="U354" s="407"/>
    </row>
    <row r="355" spans="1:21" x14ac:dyDescent="0.35">
      <c r="A355" s="408"/>
      <c r="B355" s="376" t="s">
        <v>1469</v>
      </c>
      <c r="C355" s="396" t="s">
        <v>360</v>
      </c>
      <c r="D355" s="401" t="s">
        <v>737</v>
      </c>
      <c r="E355" s="406">
        <f t="shared" si="6"/>
        <v>354</v>
      </c>
      <c r="F355" s="406"/>
      <c r="G355" s="407"/>
      <c r="H355" s="407" t="s">
        <v>124</v>
      </c>
      <c r="I355" s="407"/>
      <c r="J355" s="407"/>
      <c r="K355" s="407" t="s">
        <v>124</v>
      </c>
      <c r="L355" s="407"/>
      <c r="M355" s="407"/>
      <c r="N355" s="407"/>
      <c r="O355" s="407"/>
      <c r="P355" s="417"/>
      <c r="Q355" s="417"/>
      <c r="R355" s="407"/>
      <c r="S355" s="407"/>
      <c r="T355" s="407"/>
      <c r="U355" s="407"/>
    </row>
    <row r="356" spans="1:21" x14ac:dyDescent="0.35">
      <c r="A356" s="408"/>
      <c r="B356" s="376" t="s">
        <v>1470</v>
      </c>
      <c r="C356" s="396" t="s">
        <v>360</v>
      </c>
      <c r="D356" s="401" t="s">
        <v>739</v>
      </c>
      <c r="E356" s="406">
        <f t="shared" si="6"/>
        <v>355</v>
      </c>
      <c r="F356" s="406"/>
      <c r="G356" s="407"/>
      <c r="H356" s="407" t="s">
        <v>124</v>
      </c>
      <c r="I356" s="407"/>
      <c r="J356" s="407"/>
      <c r="K356" s="407" t="s">
        <v>124</v>
      </c>
      <c r="L356" s="407"/>
      <c r="M356" s="407"/>
      <c r="N356" s="407"/>
      <c r="O356" s="407"/>
      <c r="P356" s="417"/>
      <c r="Q356" s="417"/>
      <c r="R356" s="407"/>
      <c r="S356" s="407"/>
      <c r="T356" s="407"/>
      <c r="U356" s="407"/>
    </row>
    <row r="357" spans="1:21" ht="28" x14ac:dyDescent="0.35">
      <c r="A357" s="408"/>
      <c r="B357" s="376" t="s">
        <v>742</v>
      </c>
      <c r="C357" s="393" t="s">
        <v>402</v>
      </c>
      <c r="D357" s="401" t="s">
        <v>743</v>
      </c>
      <c r="E357" s="406">
        <f t="shared" si="6"/>
        <v>356</v>
      </c>
      <c r="F357" s="406"/>
      <c r="G357" s="407"/>
      <c r="H357" s="407" t="s">
        <v>124</v>
      </c>
      <c r="I357" s="407"/>
      <c r="J357" s="407"/>
      <c r="K357" s="407" t="s">
        <v>124</v>
      </c>
      <c r="L357" s="407"/>
      <c r="M357" s="407"/>
      <c r="N357" s="407"/>
      <c r="O357" s="407"/>
      <c r="P357" s="417"/>
      <c r="Q357" s="417"/>
      <c r="R357" s="407"/>
      <c r="S357" s="407"/>
      <c r="T357" s="407"/>
      <c r="U357" s="407"/>
    </row>
    <row r="358" spans="1:21" ht="28" x14ac:dyDescent="0.35">
      <c r="A358" s="408"/>
      <c r="B358" s="376" t="s">
        <v>744</v>
      </c>
      <c r="C358" s="393" t="s">
        <v>360</v>
      </c>
      <c r="D358" s="401" t="s">
        <v>745</v>
      </c>
      <c r="E358" s="406">
        <f t="shared" si="6"/>
        <v>357</v>
      </c>
      <c r="F358" s="406"/>
      <c r="G358" s="407"/>
      <c r="H358" s="407" t="s">
        <v>124</v>
      </c>
      <c r="I358" s="407"/>
      <c r="J358" s="407"/>
      <c r="K358" s="407" t="s">
        <v>124</v>
      </c>
      <c r="L358" s="407"/>
      <c r="M358" s="407"/>
      <c r="N358" s="407"/>
      <c r="O358" s="407"/>
      <c r="P358" s="417"/>
      <c r="Q358" s="417"/>
      <c r="R358" s="407"/>
      <c r="S358" s="407"/>
      <c r="T358" s="407"/>
      <c r="U358" s="407"/>
    </row>
    <row r="359" spans="1:21" ht="28" x14ac:dyDescent="0.35">
      <c r="A359" s="408"/>
      <c r="B359" s="376" t="s">
        <v>746</v>
      </c>
      <c r="C359" s="393" t="s">
        <v>360</v>
      </c>
      <c r="D359" s="401" t="s">
        <v>747</v>
      </c>
      <c r="E359" s="406">
        <f t="shared" si="6"/>
        <v>358</v>
      </c>
      <c r="F359" s="406"/>
      <c r="G359" s="407"/>
      <c r="H359" s="407" t="s">
        <v>124</v>
      </c>
      <c r="I359" s="407"/>
      <c r="J359" s="407"/>
      <c r="K359" s="407" t="s">
        <v>124</v>
      </c>
      <c r="L359" s="407"/>
      <c r="M359" s="407"/>
      <c r="N359" s="407"/>
      <c r="O359" s="407"/>
      <c r="P359" s="417"/>
      <c r="Q359" s="417"/>
      <c r="R359" s="407"/>
      <c r="S359" s="407"/>
      <c r="T359" s="407"/>
      <c r="U359" s="407"/>
    </row>
    <row r="360" spans="1:21" x14ac:dyDescent="0.35">
      <c r="A360" s="408"/>
      <c r="B360" s="376" t="s">
        <v>748</v>
      </c>
      <c r="C360" s="393" t="s">
        <v>360</v>
      </c>
      <c r="D360" s="401" t="s">
        <v>749</v>
      </c>
      <c r="E360" s="406">
        <f t="shared" si="6"/>
        <v>359</v>
      </c>
      <c r="F360" s="406"/>
      <c r="G360" s="407"/>
      <c r="H360" s="407" t="s">
        <v>124</v>
      </c>
      <c r="I360" s="407"/>
      <c r="J360" s="407"/>
      <c r="K360" s="407" t="s">
        <v>124</v>
      </c>
      <c r="L360" s="407"/>
      <c r="M360" s="407"/>
      <c r="N360" s="407"/>
      <c r="O360" s="407"/>
      <c r="P360" s="417"/>
      <c r="Q360" s="417"/>
      <c r="R360" s="407"/>
      <c r="S360" s="407"/>
      <c r="T360" s="407"/>
      <c r="U360" s="407"/>
    </row>
    <row r="361" spans="1:21" x14ac:dyDescent="0.35">
      <c r="A361" s="408"/>
      <c r="B361" s="376" t="s">
        <v>750</v>
      </c>
      <c r="C361" s="393" t="s">
        <v>360</v>
      </c>
      <c r="D361" s="401" t="s">
        <v>751</v>
      </c>
      <c r="E361" s="406">
        <f t="shared" si="6"/>
        <v>360</v>
      </c>
      <c r="F361" s="406"/>
      <c r="G361" s="407"/>
      <c r="H361" s="407" t="s">
        <v>124</v>
      </c>
      <c r="I361" s="407"/>
      <c r="J361" s="407"/>
      <c r="K361" s="407" t="s">
        <v>124</v>
      </c>
      <c r="L361" s="407"/>
      <c r="M361" s="407"/>
      <c r="N361" s="407"/>
      <c r="O361" s="407"/>
      <c r="P361" s="417"/>
      <c r="Q361" s="417"/>
      <c r="R361" s="407"/>
      <c r="S361" s="407"/>
      <c r="T361" s="407"/>
      <c r="U361" s="407"/>
    </row>
    <row r="362" spans="1:21" x14ac:dyDescent="0.35">
      <c r="A362" s="408"/>
      <c r="B362" s="376" t="s">
        <v>752</v>
      </c>
      <c r="C362" s="393" t="s">
        <v>360</v>
      </c>
      <c r="D362" s="401" t="s">
        <v>753</v>
      </c>
      <c r="E362" s="406">
        <f t="shared" si="6"/>
        <v>361</v>
      </c>
      <c r="F362" s="406"/>
      <c r="G362" s="407"/>
      <c r="H362" s="407" t="s">
        <v>124</v>
      </c>
      <c r="I362" s="407"/>
      <c r="J362" s="407"/>
      <c r="K362" s="407" t="s">
        <v>124</v>
      </c>
      <c r="L362" s="407"/>
      <c r="M362" s="407"/>
      <c r="N362" s="407"/>
      <c r="O362" s="407"/>
      <c r="P362" s="417"/>
      <c r="Q362" s="417"/>
      <c r="R362" s="407"/>
      <c r="S362" s="407"/>
      <c r="T362" s="407"/>
      <c r="U362" s="407"/>
    </row>
    <row r="363" spans="1:21" x14ac:dyDescent="0.35">
      <c r="A363" s="408"/>
      <c r="B363" s="376" t="s">
        <v>754</v>
      </c>
      <c r="C363" s="393" t="s">
        <v>360</v>
      </c>
      <c r="D363" s="401" t="s">
        <v>755</v>
      </c>
      <c r="E363" s="406">
        <f t="shared" si="6"/>
        <v>362</v>
      </c>
      <c r="F363" s="406"/>
      <c r="G363" s="407"/>
      <c r="H363" s="407" t="s">
        <v>124</v>
      </c>
      <c r="I363" s="407"/>
      <c r="J363" s="407"/>
      <c r="K363" s="407" t="s">
        <v>124</v>
      </c>
      <c r="L363" s="407"/>
      <c r="M363" s="407"/>
      <c r="N363" s="407"/>
      <c r="O363" s="407"/>
      <c r="P363" s="417"/>
      <c r="Q363" s="417"/>
      <c r="R363" s="407"/>
      <c r="S363" s="407"/>
      <c r="T363" s="407"/>
      <c r="U363" s="407"/>
    </row>
    <row r="364" spans="1:21" x14ac:dyDescent="0.35">
      <c r="A364" s="408"/>
      <c r="B364" s="376" t="s">
        <v>756</v>
      </c>
      <c r="C364" s="393" t="s">
        <v>360</v>
      </c>
      <c r="D364" s="401" t="s">
        <v>757</v>
      </c>
      <c r="E364" s="406">
        <f t="shared" si="6"/>
        <v>363</v>
      </c>
      <c r="F364" s="406"/>
      <c r="G364" s="407"/>
      <c r="H364" s="407" t="s">
        <v>124</v>
      </c>
      <c r="I364" s="407"/>
      <c r="J364" s="407"/>
      <c r="K364" s="407" t="s">
        <v>124</v>
      </c>
      <c r="L364" s="407"/>
      <c r="M364" s="407"/>
      <c r="N364" s="407"/>
      <c r="O364" s="407"/>
      <c r="P364" s="417"/>
      <c r="Q364" s="417"/>
      <c r="R364" s="407"/>
      <c r="S364" s="407"/>
      <c r="T364" s="407"/>
      <c r="U364" s="407"/>
    </row>
    <row r="365" spans="1:21" x14ac:dyDescent="0.35">
      <c r="A365" s="408"/>
      <c r="B365" s="376" t="s">
        <v>758</v>
      </c>
      <c r="C365" s="393" t="s">
        <v>360</v>
      </c>
      <c r="D365" s="401" t="s">
        <v>759</v>
      </c>
      <c r="E365" s="406">
        <f t="shared" si="6"/>
        <v>364</v>
      </c>
      <c r="F365" s="406"/>
      <c r="G365" s="407"/>
      <c r="H365" s="407" t="s">
        <v>124</v>
      </c>
      <c r="I365" s="407"/>
      <c r="J365" s="407"/>
      <c r="K365" s="407" t="s">
        <v>124</v>
      </c>
      <c r="L365" s="407"/>
      <c r="M365" s="407"/>
      <c r="N365" s="407"/>
      <c r="O365" s="407"/>
      <c r="P365" s="417"/>
      <c r="Q365" s="417"/>
      <c r="R365" s="407"/>
      <c r="S365" s="407"/>
      <c r="T365" s="407"/>
      <c r="U365" s="407"/>
    </row>
    <row r="366" spans="1:21" x14ac:dyDescent="0.35">
      <c r="A366" s="408"/>
      <c r="B366" s="376" t="s">
        <v>760</v>
      </c>
      <c r="C366" s="393" t="s">
        <v>360</v>
      </c>
      <c r="D366" s="401" t="s">
        <v>761</v>
      </c>
      <c r="E366" s="406">
        <f t="shared" si="6"/>
        <v>365</v>
      </c>
      <c r="F366" s="406"/>
      <c r="G366" s="407"/>
      <c r="H366" s="407" t="s">
        <v>124</v>
      </c>
      <c r="I366" s="407"/>
      <c r="J366" s="407"/>
      <c r="K366" s="407" t="s">
        <v>124</v>
      </c>
      <c r="L366" s="407"/>
      <c r="M366" s="407"/>
      <c r="N366" s="407"/>
      <c r="O366" s="407"/>
      <c r="P366" s="417"/>
      <c r="Q366" s="417"/>
      <c r="R366" s="407"/>
      <c r="S366" s="407"/>
      <c r="T366" s="407"/>
      <c r="U366" s="407"/>
    </row>
    <row r="367" spans="1:21" x14ac:dyDescent="0.35">
      <c r="A367" s="408"/>
      <c r="B367" s="376" t="s">
        <v>762</v>
      </c>
      <c r="C367" s="393" t="s">
        <v>360</v>
      </c>
      <c r="D367" s="401" t="s">
        <v>763</v>
      </c>
      <c r="E367" s="406">
        <f t="shared" si="6"/>
        <v>366</v>
      </c>
      <c r="F367" s="406"/>
      <c r="G367" s="407"/>
      <c r="H367" s="407" t="s">
        <v>124</v>
      </c>
      <c r="I367" s="407"/>
      <c r="J367" s="407"/>
      <c r="K367" s="407" t="s">
        <v>124</v>
      </c>
      <c r="L367" s="407"/>
      <c r="M367" s="407"/>
      <c r="N367" s="407"/>
      <c r="O367" s="407"/>
      <c r="P367" s="407"/>
      <c r="Q367" s="407"/>
      <c r="R367" s="407"/>
      <c r="S367" s="407"/>
      <c r="T367" s="407"/>
      <c r="U367" s="407"/>
    </row>
    <row r="368" spans="1:21" x14ac:dyDescent="0.35">
      <c r="A368" s="408"/>
      <c r="B368" s="376" t="s">
        <v>764</v>
      </c>
      <c r="C368" s="393" t="s">
        <v>360</v>
      </c>
      <c r="D368" s="401" t="s">
        <v>765</v>
      </c>
      <c r="E368" s="406">
        <f t="shared" si="6"/>
        <v>367</v>
      </c>
      <c r="F368" s="406"/>
      <c r="G368" s="407"/>
      <c r="H368" s="407" t="s">
        <v>124</v>
      </c>
      <c r="I368" s="407"/>
      <c r="J368" s="407"/>
      <c r="K368" s="407" t="s">
        <v>124</v>
      </c>
      <c r="L368" s="407"/>
      <c r="M368" s="407"/>
      <c r="N368" s="407"/>
      <c r="O368" s="407"/>
      <c r="P368" s="407"/>
      <c r="Q368" s="407"/>
      <c r="R368" s="407"/>
      <c r="S368" s="407"/>
      <c r="T368" s="407"/>
      <c r="U368" s="407"/>
    </row>
    <row r="369" spans="1:21" x14ac:dyDescent="0.35">
      <c r="A369" s="408"/>
      <c r="B369" s="376" t="s">
        <v>766</v>
      </c>
      <c r="C369" s="393" t="s">
        <v>360</v>
      </c>
      <c r="D369" s="401" t="s">
        <v>767</v>
      </c>
      <c r="E369" s="406">
        <f t="shared" si="6"/>
        <v>368</v>
      </c>
      <c r="F369" s="406"/>
      <c r="G369" s="407"/>
      <c r="H369" s="407" t="s">
        <v>124</v>
      </c>
      <c r="I369" s="407"/>
      <c r="J369" s="407"/>
      <c r="K369" s="407" t="s">
        <v>124</v>
      </c>
      <c r="L369" s="407"/>
      <c r="M369" s="407"/>
      <c r="N369" s="407"/>
      <c r="O369" s="407"/>
      <c r="P369" s="407"/>
      <c r="Q369" s="407"/>
      <c r="R369" s="407"/>
      <c r="S369" s="407"/>
      <c r="T369" s="407"/>
      <c r="U369" s="407"/>
    </row>
    <row r="370" spans="1:21" x14ac:dyDescent="0.35">
      <c r="A370" s="408"/>
      <c r="B370" s="376" t="s">
        <v>768</v>
      </c>
      <c r="C370" s="393" t="s">
        <v>360</v>
      </c>
      <c r="D370" s="401" t="s">
        <v>769</v>
      </c>
      <c r="E370" s="406">
        <f t="shared" si="6"/>
        <v>369</v>
      </c>
      <c r="F370" s="406"/>
      <c r="G370" s="407"/>
      <c r="H370" s="407" t="s">
        <v>124</v>
      </c>
      <c r="I370" s="407"/>
      <c r="J370" s="407"/>
      <c r="K370" s="407" t="s">
        <v>124</v>
      </c>
      <c r="L370" s="407"/>
      <c r="M370" s="407"/>
      <c r="N370" s="407"/>
      <c r="O370" s="407"/>
      <c r="P370" s="407"/>
      <c r="Q370" s="407"/>
      <c r="R370" s="407"/>
      <c r="S370" s="407"/>
      <c r="T370" s="407"/>
      <c r="U370" s="407"/>
    </row>
    <row r="371" spans="1:21" x14ac:dyDescent="0.35">
      <c r="A371" s="408"/>
      <c r="B371" s="376" t="s">
        <v>770</v>
      </c>
      <c r="C371" s="393" t="s">
        <v>360</v>
      </c>
      <c r="D371" s="401" t="s">
        <v>771</v>
      </c>
      <c r="E371" s="406">
        <f t="shared" si="6"/>
        <v>370</v>
      </c>
      <c r="F371" s="406"/>
      <c r="G371" s="407"/>
      <c r="H371" s="407" t="s">
        <v>124</v>
      </c>
      <c r="I371" s="407"/>
      <c r="J371" s="407"/>
      <c r="K371" s="407" t="s">
        <v>124</v>
      </c>
      <c r="L371" s="407"/>
      <c r="M371" s="407"/>
      <c r="N371" s="407"/>
      <c r="O371" s="407"/>
      <c r="P371" s="407"/>
      <c r="Q371" s="407"/>
      <c r="R371" s="407"/>
      <c r="S371" s="407"/>
      <c r="T371" s="407"/>
      <c r="U371" s="407"/>
    </row>
    <row r="372" spans="1:21" x14ac:dyDescent="0.35">
      <c r="A372" s="408"/>
      <c r="B372" s="376" t="s">
        <v>772</v>
      </c>
      <c r="C372" s="393" t="s">
        <v>360</v>
      </c>
      <c r="D372" s="401" t="s">
        <v>773</v>
      </c>
      <c r="E372" s="406">
        <f t="shared" si="6"/>
        <v>371</v>
      </c>
      <c r="F372" s="406"/>
      <c r="G372" s="407"/>
      <c r="H372" s="407" t="s">
        <v>124</v>
      </c>
      <c r="I372" s="407"/>
      <c r="J372" s="407"/>
      <c r="K372" s="407" t="s">
        <v>124</v>
      </c>
      <c r="L372" s="407"/>
      <c r="M372" s="407"/>
      <c r="N372" s="407"/>
      <c r="O372" s="407"/>
      <c r="P372" s="407"/>
      <c r="Q372" s="407"/>
      <c r="R372" s="407"/>
      <c r="S372" s="407"/>
      <c r="T372" s="407"/>
      <c r="U372" s="407"/>
    </row>
    <row r="373" spans="1:21" x14ac:dyDescent="0.35">
      <c r="A373" s="408"/>
      <c r="B373" s="376" t="s">
        <v>774</v>
      </c>
      <c r="C373" s="393" t="s">
        <v>360</v>
      </c>
      <c r="D373" s="401" t="s">
        <v>775</v>
      </c>
      <c r="E373" s="406">
        <f t="shared" si="6"/>
        <v>372</v>
      </c>
      <c r="F373" s="406"/>
      <c r="G373" s="407"/>
      <c r="H373" s="407" t="s">
        <v>124</v>
      </c>
      <c r="I373" s="407"/>
      <c r="J373" s="407"/>
      <c r="K373" s="407" t="s">
        <v>124</v>
      </c>
      <c r="L373" s="407"/>
      <c r="M373" s="407"/>
      <c r="N373" s="407"/>
      <c r="O373" s="407"/>
      <c r="P373" s="407"/>
      <c r="Q373" s="407"/>
      <c r="R373" s="407"/>
      <c r="S373" s="407"/>
      <c r="T373" s="407"/>
      <c r="U373" s="407"/>
    </row>
    <row r="374" spans="1:21" x14ac:dyDescent="0.35">
      <c r="A374" s="408"/>
      <c r="B374" s="376" t="s">
        <v>776</v>
      </c>
      <c r="C374" s="393" t="s">
        <v>360</v>
      </c>
      <c r="D374" s="401" t="s">
        <v>777</v>
      </c>
      <c r="E374" s="406">
        <f t="shared" si="6"/>
        <v>373</v>
      </c>
      <c r="F374" s="406"/>
      <c r="G374" s="407"/>
      <c r="H374" s="407" t="s">
        <v>124</v>
      </c>
      <c r="I374" s="407"/>
      <c r="J374" s="407"/>
      <c r="K374" s="407" t="s">
        <v>124</v>
      </c>
      <c r="L374" s="407"/>
      <c r="M374" s="407"/>
      <c r="N374" s="407"/>
      <c r="O374" s="407"/>
      <c r="P374" s="407"/>
      <c r="Q374" s="407"/>
      <c r="R374" s="407"/>
      <c r="S374" s="407"/>
      <c r="T374" s="407"/>
      <c r="U374" s="407"/>
    </row>
    <row r="375" spans="1:21" x14ac:dyDescent="0.35">
      <c r="A375" s="408"/>
      <c r="B375" s="376" t="s">
        <v>778</v>
      </c>
      <c r="C375" s="393" t="s">
        <v>360</v>
      </c>
      <c r="D375" s="401" t="s">
        <v>779</v>
      </c>
      <c r="E375" s="406">
        <f t="shared" si="6"/>
        <v>374</v>
      </c>
      <c r="F375" s="406"/>
      <c r="G375" s="407"/>
      <c r="H375" s="407" t="s">
        <v>124</v>
      </c>
      <c r="I375" s="407"/>
      <c r="J375" s="407"/>
      <c r="K375" s="407" t="s">
        <v>124</v>
      </c>
      <c r="L375" s="407"/>
      <c r="M375" s="407"/>
      <c r="N375" s="407"/>
      <c r="O375" s="407"/>
      <c r="P375" s="407"/>
      <c r="Q375" s="407"/>
      <c r="R375" s="407"/>
      <c r="S375" s="407"/>
      <c r="T375" s="407"/>
      <c r="U375" s="407"/>
    </row>
    <row r="376" spans="1:21" x14ac:dyDescent="0.35">
      <c r="A376" s="408"/>
      <c r="B376" s="376" t="s">
        <v>780</v>
      </c>
      <c r="C376" s="393" t="s">
        <v>360</v>
      </c>
      <c r="D376" s="401" t="s">
        <v>781</v>
      </c>
      <c r="E376" s="406">
        <f t="shared" si="6"/>
        <v>375</v>
      </c>
      <c r="F376" s="406"/>
      <c r="G376" s="407"/>
      <c r="H376" s="407" t="s">
        <v>124</v>
      </c>
      <c r="I376" s="407"/>
      <c r="J376" s="407"/>
      <c r="K376" s="407" t="s">
        <v>124</v>
      </c>
      <c r="L376" s="407"/>
      <c r="M376" s="407"/>
      <c r="N376" s="407"/>
      <c r="O376" s="407"/>
      <c r="P376" s="407"/>
      <c r="Q376" s="407"/>
      <c r="R376" s="407"/>
      <c r="S376" s="407"/>
      <c r="T376" s="407"/>
      <c r="U376" s="407"/>
    </row>
    <row r="377" spans="1:21" x14ac:dyDescent="0.35">
      <c r="A377" s="408"/>
      <c r="B377" s="376" t="s">
        <v>782</v>
      </c>
      <c r="C377" s="393" t="s">
        <v>360</v>
      </c>
      <c r="D377" s="401" t="s">
        <v>783</v>
      </c>
      <c r="E377" s="406">
        <f t="shared" si="6"/>
        <v>376</v>
      </c>
      <c r="F377" s="406"/>
      <c r="G377" s="407"/>
      <c r="H377" s="407" t="s">
        <v>124</v>
      </c>
      <c r="I377" s="407"/>
      <c r="J377" s="407"/>
      <c r="K377" s="407" t="s">
        <v>124</v>
      </c>
      <c r="L377" s="407"/>
      <c r="M377" s="407"/>
      <c r="N377" s="407"/>
      <c r="O377" s="407"/>
      <c r="P377" s="407"/>
      <c r="Q377" s="407"/>
      <c r="R377" s="407"/>
      <c r="S377" s="407"/>
      <c r="T377" s="407"/>
      <c r="U377" s="407"/>
    </row>
    <row r="378" spans="1:21" x14ac:dyDescent="0.35">
      <c r="A378" s="408"/>
      <c r="B378" s="376" t="s">
        <v>784</v>
      </c>
      <c r="C378" s="393" t="s">
        <v>360</v>
      </c>
      <c r="D378" s="401" t="s">
        <v>785</v>
      </c>
      <c r="E378" s="406">
        <f t="shared" si="6"/>
        <v>377</v>
      </c>
      <c r="F378" s="406"/>
      <c r="G378" s="407"/>
      <c r="H378" s="407" t="s">
        <v>124</v>
      </c>
      <c r="I378" s="407"/>
      <c r="J378" s="407"/>
      <c r="K378" s="407" t="s">
        <v>124</v>
      </c>
      <c r="L378" s="407"/>
      <c r="M378" s="407"/>
      <c r="N378" s="407"/>
      <c r="O378" s="407"/>
      <c r="P378" s="407"/>
      <c r="Q378" s="407"/>
      <c r="R378" s="407"/>
      <c r="S378" s="407"/>
      <c r="T378" s="407"/>
      <c r="U378" s="407"/>
    </row>
    <row r="379" spans="1:21" x14ac:dyDescent="0.35">
      <c r="A379" s="408"/>
      <c r="B379" s="376" t="s">
        <v>786</v>
      </c>
      <c r="C379" s="393" t="s">
        <v>360</v>
      </c>
      <c r="D379" s="401" t="s">
        <v>787</v>
      </c>
      <c r="E379" s="406">
        <f t="shared" si="6"/>
        <v>378</v>
      </c>
      <c r="F379" s="406"/>
      <c r="G379" s="407"/>
      <c r="H379" s="407" t="s">
        <v>124</v>
      </c>
      <c r="I379" s="407"/>
      <c r="J379" s="407"/>
      <c r="K379" s="407" t="s">
        <v>124</v>
      </c>
      <c r="L379" s="407"/>
      <c r="M379" s="407"/>
      <c r="N379" s="407"/>
      <c r="O379" s="407"/>
      <c r="P379" s="407"/>
      <c r="Q379" s="407"/>
      <c r="R379" s="407"/>
      <c r="S379" s="407"/>
      <c r="T379" s="407"/>
      <c r="U379" s="407"/>
    </row>
    <row r="380" spans="1:21" x14ac:dyDescent="0.35">
      <c r="A380" s="408"/>
      <c r="B380" s="376" t="s">
        <v>788</v>
      </c>
      <c r="C380" s="393" t="s">
        <v>360</v>
      </c>
      <c r="D380" s="401" t="s">
        <v>789</v>
      </c>
      <c r="E380" s="406">
        <f t="shared" si="6"/>
        <v>379</v>
      </c>
      <c r="F380" s="406"/>
      <c r="G380" s="407"/>
      <c r="H380" s="407" t="s">
        <v>124</v>
      </c>
      <c r="I380" s="407"/>
      <c r="J380" s="407"/>
      <c r="K380" s="407" t="s">
        <v>124</v>
      </c>
      <c r="L380" s="407"/>
      <c r="M380" s="407"/>
      <c r="N380" s="407"/>
      <c r="O380" s="407"/>
      <c r="P380" s="407"/>
      <c r="Q380" s="407"/>
      <c r="R380" s="407"/>
      <c r="S380" s="407"/>
      <c r="T380" s="407"/>
      <c r="U380" s="407"/>
    </row>
    <row r="381" spans="1:21" x14ac:dyDescent="0.35">
      <c r="A381" s="408"/>
      <c r="B381" s="376" t="s">
        <v>790</v>
      </c>
      <c r="C381" s="393" t="s">
        <v>360</v>
      </c>
      <c r="D381" s="401" t="s">
        <v>791</v>
      </c>
      <c r="E381" s="406">
        <f t="shared" si="6"/>
        <v>380</v>
      </c>
      <c r="F381" s="406"/>
      <c r="G381" s="407"/>
      <c r="H381" s="407" t="s">
        <v>124</v>
      </c>
      <c r="I381" s="407"/>
      <c r="J381" s="407"/>
      <c r="K381" s="407" t="s">
        <v>124</v>
      </c>
      <c r="L381" s="407"/>
      <c r="M381" s="407"/>
      <c r="N381" s="407"/>
      <c r="O381" s="407"/>
      <c r="P381" s="407"/>
      <c r="Q381" s="407"/>
      <c r="R381" s="407"/>
      <c r="S381" s="407"/>
      <c r="T381" s="407"/>
      <c r="U381" s="407"/>
    </row>
    <row r="382" spans="1:21" x14ac:dyDescent="0.35">
      <c r="A382" s="408"/>
      <c r="B382" s="376" t="s">
        <v>792</v>
      </c>
      <c r="C382" s="393" t="s">
        <v>360</v>
      </c>
      <c r="D382" s="401" t="s">
        <v>793</v>
      </c>
      <c r="E382" s="406">
        <f t="shared" si="6"/>
        <v>381</v>
      </c>
      <c r="F382" s="406"/>
      <c r="G382" s="407"/>
      <c r="H382" s="407" t="s">
        <v>124</v>
      </c>
      <c r="I382" s="407"/>
      <c r="J382" s="407"/>
      <c r="K382" s="407" t="s">
        <v>124</v>
      </c>
      <c r="L382" s="407"/>
      <c r="M382" s="407"/>
      <c r="N382" s="407"/>
      <c r="O382" s="407"/>
      <c r="P382" s="407"/>
      <c r="Q382" s="407"/>
      <c r="R382" s="407"/>
      <c r="S382" s="407"/>
      <c r="T382" s="407"/>
      <c r="U382" s="407"/>
    </row>
    <row r="383" spans="1:21" x14ac:dyDescent="0.35">
      <c r="A383" s="408"/>
      <c r="B383" s="376" t="s">
        <v>794</v>
      </c>
      <c r="C383" s="393" t="s">
        <v>360</v>
      </c>
      <c r="D383" s="401" t="s">
        <v>795</v>
      </c>
      <c r="E383" s="406">
        <f t="shared" si="6"/>
        <v>382</v>
      </c>
      <c r="F383" s="406"/>
      <c r="G383" s="407"/>
      <c r="H383" s="407" t="s">
        <v>124</v>
      </c>
      <c r="I383" s="407"/>
      <c r="J383" s="407"/>
      <c r="K383" s="407" t="s">
        <v>124</v>
      </c>
      <c r="L383" s="407"/>
      <c r="M383" s="407"/>
      <c r="N383" s="407"/>
      <c r="O383" s="407"/>
      <c r="P383" s="407"/>
      <c r="Q383" s="407"/>
      <c r="R383" s="407"/>
      <c r="S383" s="407"/>
      <c r="T383" s="407"/>
      <c r="U383" s="407"/>
    </row>
    <row r="384" spans="1:21" x14ac:dyDescent="0.35">
      <c r="A384" s="408"/>
      <c r="B384" s="376" t="s">
        <v>796</v>
      </c>
      <c r="C384" s="393" t="s">
        <v>360</v>
      </c>
      <c r="D384" s="401" t="s">
        <v>797</v>
      </c>
      <c r="E384" s="406">
        <f t="shared" si="6"/>
        <v>383</v>
      </c>
      <c r="F384" s="406"/>
      <c r="G384" s="407"/>
      <c r="H384" s="407" t="s">
        <v>124</v>
      </c>
      <c r="I384" s="407"/>
      <c r="J384" s="407"/>
      <c r="K384" s="407" t="s">
        <v>124</v>
      </c>
      <c r="L384" s="407"/>
      <c r="M384" s="407"/>
      <c r="N384" s="407"/>
      <c r="O384" s="407"/>
      <c r="P384" s="407"/>
      <c r="Q384" s="407"/>
      <c r="R384" s="407"/>
      <c r="S384" s="407"/>
      <c r="T384" s="407"/>
      <c r="U384" s="407"/>
    </row>
    <row r="385" spans="1:21" x14ac:dyDescent="0.35">
      <c r="A385" s="408"/>
      <c r="B385" s="376" t="s">
        <v>798</v>
      </c>
      <c r="C385" s="393" t="s">
        <v>360</v>
      </c>
      <c r="D385" s="401" t="s">
        <v>799</v>
      </c>
      <c r="E385" s="406">
        <f t="shared" si="6"/>
        <v>384</v>
      </c>
      <c r="F385" s="406"/>
      <c r="G385" s="407"/>
      <c r="H385" s="407" t="s">
        <v>124</v>
      </c>
      <c r="I385" s="407"/>
      <c r="J385" s="407"/>
      <c r="K385" s="407" t="s">
        <v>124</v>
      </c>
      <c r="L385" s="407"/>
      <c r="M385" s="407"/>
      <c r="N385" s="407"/>
      <c r="O385" s="407"/>
      <c r="P385" s="407"/>
      <c r="Q385" s="407"/>
      <c r="R385" s="407"/>
      <c r="S385" s="407"/>
      <c r="T385" s="407"/>
      <c r="U385" s="407"/>
    </row>
    <row r="386" spans="1:21" x14ac:dyDescent="0.35">
      <c r="A386" s="408"/>
      <c r="B386" s="376" t="s">
        <v>800</v>
      </c>
      <c r="C386" s="393" t="s">
        <v>360</v>
      </c>
      <c r="D386" s="401" t="s">
        <v>801</v>
      </c>
      <c r="E386" s="406">
        <f t="shared" si="6"/>
        <v>385</v>
      </c>
      <c r="F386" s="406"/>
      <c r="G386" s="407"/>
      <c r="H386" s="407" t="s">
        <v>124</v>
      </c>
      <c r="I386" s="407"/>
      <c r="J386" s="407"/>
      <c r="K386" s="407" t="s">
        <v>124</v>
      </c>
      <c r="L386" s="407"/>
      <c r="M386" s="407"/>
      <c r="N386" s="407"/>
      <c r="O386" s="407"/>
      <c r="P386" s="407"/>
      <c r="Q386" s="407"/>
      <c r="R386" s="407"/>
      <c r="S386" s="407"/>
      <c r="T386" s="407"/>
      <c r="U386" s="407"/>
    </row>
    <row r="387" spans="1:21" ht="28" x14ac:dyDescent="0.35">
      <c r="A387" s="408"/>
      <c r="B387" s="376" t="s">
        <v>802</v>
      </c>
      <c r="C387" s="393" t="s">
        <v>360</v>
      </c>
      <c r="D387" s="401" t="s">
        <v>803</v>
      </c>
      <c r="E387" s="406">
        <f t="shared" si="6"/>
        <v>386</v>
      </c>
      <c r="F387" s="406"/>
      <c r="G387" s="407"/>
      <c r="H387" s="407" t="s">
        <v>124</v>
      </c>
      <c r="I387" s="407"/>
      <c r="J387" s="407"/>
      <c r="K387" s="407" t="s">
        <v>124</v>
      </c>
      <c r="L387" s="407"/>
      <c r="M387" s="407"/>
      <c r="N387" s="407"/>
      <c r="O387" s="407"/>
      <c r="P387" s="407"/>
      <c r="Q387" s="407"/>
      <c r="R387" s="407"/>
      <c r="S387" s="407"/>
      <c r="T387" s="407"/>
      <c r="U387" s="407"/>
    </row>
    <row r="388" spans="1:21" ht="28" x14ac:dyDescent="0.35">
      <c r="A388" s="408"/>
      <c r="B388" s="376" t="s">
        <v>804</v>
      </c>
      <c r="C388" s="393" t="s">
        <v>402</v>
      </c>
      <c r="D388" s="401" t="s">
        <v>805</v>
      </c>
      <c r="E388" s="406">
        <f t="shared" si="6"/>
        <v>387</v>
      </c>
      <c r="F388" s="406"/>
      <c r="G388" s="407"/>
      <c r="H388" s="407" t="s">
        <v>124</v>
      </c>
      <c r="I388" s="407"/>
      <c r="J388" s="407"/>
      <c r="K388" s="407" t="s">
        <v>124</v>
      </c>
      <c r="L388" s="407"/>
      <c r="M388" s="407"/>
      <c r="N388" s="407"/>
      <c r="O388" s="407"/>
      <c r="P388" s="407"/>
      <c r="Q388" s="407"/>
      <c r="R388" s="407"/>
      <c r="S388" s="407"/>
      <c r="T388" s="407"/>
      <c r="U388" s="407"/>
    </row>
    <row r="389" spans="1:21" x14ac:dyDescent="0.35">
      <c r="A389" s="408"/>
      <c r="B389" s="376" t="s">
        <v>1471</v>
      </c>
      <c r="C389" s="393" t="s">
        <v>360</v>
      </c>
      <c r="D389" s="401" t="s">
        <v>1529</v>
      </c>
      <c r="E389" s="406">
        <f t="shared" si="6"/>
        <v>388</v>
      </c>
      <c r="F389" s="406"/>
      <c r="G389" s="407"/>
      <c r="H389" s="407" t="s">
        <v>124</v>
      </c>
      <c r="I389" s="407"/>
      <c r="J389" s="407"/>
      <c r="K389" s="407" t="s">
        <v>124</v>
      </c>
      <c r="L389" s="407"/>
      <c r="M389" s="407"/>
      <c r="N389" s="407"/>
      <c r="O389" s="407"/>
      <c r="P389" s="407"/>
      <c r="Q389" s="407"/>
      <c r="R389" s="407"/>
      <c r="S389" s="407"/>
      <c r="T389" s="407"/>
      <c r="U389" s="407"/>
    </row>
    <row r="390" spans="1:21" x14ac:dyDescent="0.35">
      <c r="A390" s="408"/>
      <c r="B390" s="376" t="s">
        <v>1472</v>
      </c>
      <c r="C390" s="393" t="s">
        <v>360</v>
      </c>
      <c r="D390" s="401" t="s">
        <v>1530</v>
      </c>
      <c r="E390" s="406">
        <f t="shared" si="6"/>
        <v>389</v>
      </c>
      <c r="F390" s="406"/>
      <c r="G390" s="407"/>
      <c r="H390" s="407" t="s">
        <v>124</v>
      </c>
      <c r="I390" s="407"/>
      <c r="J390" s="407"/>
      <c r="K390" s="407" t="s">
        <v>124</v>
      </c>
      <c r="L390" s="407"/>
      <c r="M390" s="407"/>
      <c r="N390" s="407"/>
      <c r="O390" s="407"/>
      <c r="P390" s="407"/>
      <c r="Q390" s="407"/>
      <c r="R390" s="407"/>
      <c r="S390" s="407"/>
      <c r="T390" s="407"/>
      <c r="U390" s="407"/>
    </row>
    <row r="391" spans="1:21" ht="28" x14ac:dyDescent="0.35">
      <c r="A391" s="408"/>
      <c r="B391" s="376" t="s">
        <v>806</v>
      </c>
      <c r="C391" s="393" t="s">
        <v>360</v>
      </c>
      <c r="D391" s="401" t="s">
        <v>807</v>
      </c>
      <c r="E391" s="406">
        <f t="shared" si="6"/>
        <v>390</v>
      </c>
      <c r="F391" s="406"/>
      <c r="G391" s="407"/>
      <c r="H391" s="407" t="s">
        <v>124</v>
      </c>
      <c r="I391" s="407"/>
      <c r="J391" s="407"/>
      <c r="K391" s="407" t="s">
        <v>124</v>
      </c>
      <c r="L391" s="407"/>
      <c r="M391" s="407"/>
      <c r="N391" s="407"/>
      <c r="O391" s="407"/>
      <c r="P391" s="407"/>
      <c r="Q391" s="407"/>
      <c r="R391" s="407"/>
      <c r="S391" s="407"/>
      <c r="T391" s="407"/>
      <c r="U391" s="407"/>
    </row>
    <row r="392" spans="1:21" ht="28" x14ac:dyDescent="0.35">
      <c r="A392" s="408"/>
      <c r="B392" s="376" t="s">
        <v>1473</v>
      </c>
      <c r="C392" s="395" t="s">
        <v>402</v>
      </c>
      <c r="D392" s="401" t="s">
        <v>412</v>
      </c>
      <c r="E392" s="406">
        <f t="shared" si="6"/>
        <v>391</v>
      </c>
      <c r="F392" s="406"/>
      <c r="G392" s="407"/>
      <c r="H392" s="407" t="s">
        <v>124</v>
      </c>
      <c r="I392" s="407"/>
      <c r="J392" s="407"/>
      <c r="K392" s="407" t="s">
        <v>124</v>
      </c>
      <c r="L392" s="407"/>
      <c r="M392" s="407"/>
      <c r="N392" s="407"/>
      <c r="O392" s="407"/>
      <c r="P392" s="407"/>
      <c r="Q392" s="407"/>
      <c r="R392" s="407"/>
      <c r="S392" s="407"/>
      <c r="T392" s="407"/>
      <c r="U392" s="407"/>
    </row>
    <row r="393" spans="1:21" ht="28" x14ac:dyDescent="0.35">
      <c r="A393" s="408"/>
      <c r="B393" s="376" t="s">
        <v>1474</v>
      </c>
      <c r="C393" s="395" t="s">
        <v>229</v>
      </c>
      <c r="D393" s="401" t="s">
        <v>645</v>
      </c>
      <c r="E393" s="406">
        <f t="shared" si="6"/>
        <v>392</v>
      </c>
      <c r="F393" s="406"/>
      <c r="G393" s="407"/>
      <c r="H393" s="407" t="s">
        <v>124</v>
      </c>
      <c r="I393" s="407"/>
      <c r="J393" s="407"/>
      <c r="K393" s="407" t="s">
        <v>124</v>
      </c>
      <c r="L393" s="407"/>
      <c r="M393" s="407"/>
      <c r="N393" s="407"/>
      <c r="O393" s="407"/>
      <c r="P393" s="407"/>
      <c r="Q393" s="407"/>
      <c r="R393" s="407"/>
      <c r="S393" s="407"/>
      <c r="T393" s="407"/>
      <c r="U393" s="407"/>
    </row>
    <row r="394" spans="1:21" ht="28" x14ac:dyDescent="0.35">
      <c r="A394" s="408"/>
      <c r="B394" s="376" t="s">
        <v>1475</v>
      </c>
      <c r="C394" s="395" t="s">
        <v>229</v>
      </c>
      <c r="D394" s="401" t="s">
        <v>645</v>
      </c>
      <c r="E394" s="406">
        <f t="shared" si="6"/>
        <v>393</v>
      </c>
      <c r="F394" s="406"/>
      <c r="G394" s="407"/>
      <c r="H394" s="407" t="s">
        <v>124</v>
      </c>
      <c r="I394" s="407"/>
      <c r="J394" s="407"/>
      <c r="K394" s="407" t="s">
        <v>124</v>
      </c>
      <c r="L394" s="407"/>
      <c r="M394" s="407"/>
      <c r="N394" s="407"/>
      <c r="O394" s="407"/>
      <c r="P394" s="407"/>
      <c r="Q394" s="407"/>
      <c r="R394" s="407"/>
      <c r="S394" s="407"/>
      <c r="T394" s="407"/>
      <c r="U394" s="407"/>
    </row>
    <row r="395" spans="1:21" ht="28" x14ac:dyDescent="0.35">
      <c r="A395" s="408"/>
      <c r="B395" s="376" t="s">
        <v>1476</v>
      </c>
      <c r="C395" s="395" t="s">
        <v>360</v>
      </c>
      <c r="D395" s="401" t="s">
        <v>1531</v>
      </c>
      <c r="E395" s="406">
        <f t="shared" si="6"/>
        <v>394</v>
      </c>
      <c r="F395" s="406"/>
      <c r="G395" s="407"/>
      <c r="H395" s="407" t="s">
        <v>124</v>
      </c>
      <c r="I395" s="407"/>
      <c r="J395" s="407"/>
      <c r="K395" s="407" t="s">
        <v>124</v>
      </c>
      <c r="L395" s="407"/>
      <c r="M395" s="407"/>
      <c r="N395" s="407"/>
      <c r="O395" s="407"/>
      <c r="P395" s="407"/>
      <c r="Q395" s="407"/>
      <c r="R395" s="407"/>
      <c r="S395" s="407"/>
      <c r="T395" s="407"/>
      <c r="U395" s="407"/>
    </row>
    <row r="396" spans="1:21" ht="28" x14ac:dyDescent="0.35">
      <c r="A396" s="408"/>
      <c r="B396" s="376" t="s">
        <v>808</v>
      </c>
      <c r="C396" s="393" t="s">
        <v>360</v>
      </c>
      <c r="D396" s="401" t="s">
        <v>809</v>
      </c>
      <c r="E396" s="406">
        <f t="shared" si="6"/>
        <v>395</v>
      </c>
      <c r="F396" s="406"/>
      <c r="G396" s="407"/>
      <c r="H396" s="407" t="s">
        <v>124</v>
      </c>
      <c r="I396" s="407"/>
      <c r="J396" s="407"/>
      <c r="K396" s="407" t="s">
        <v>124</v>
      </c>
      <c r="L396" s="407"/>
      <c r="M396" s="407"/>
      <c r="N396" s="407"/>
      <c r="O396" s="407"/>
      <c r="P396" s="407"/>
      <c r="Q396" s="407"/>
      <c r="R396" s="407"/>
      <c r="S396" s="407"/>
      <c r="T396" s="407"/>
      <c r="U396" s="407"/>
    </row>
    <row r="397" spans="1:21" x14ac:dyDescent="0.35">
      <c r="A397" s="408"/>
      <c r="B397" s="376" t="s">
        <v>810</v>
      </c>
      <c r="C397" s="393" t="s">
        <v>360</v>
      </c>
      <c r="D397" s="401" t="s">
        <v>1532</v>
      </c>
      <c r="E397" s="406">
        <f t="shared" si="6"/>
        <v>396</v>
      </c>
      <c r="F397" s="406"/>
      <c r="G397" s="407"/>
      <c r="H397" s="407" t="s">
        <v>124</v>
      </c>
      <c r="I397" s="407"/>
      <c r="J397" s="407"/>
      <c r="K397" s="407" t="s">
        <v>124</v>
      </c>
      <c r="L397" s="407"/>
      <c r="M397" s="407"/>
      <c r="N397" s="407"/>
      <c r="O397" s="407"/>
      <c r="P397" s="407"/>
      <c r="Q397" s="407"/>
      <c r="R397" s="407"/>
      <c r="S397" s="407"/>
      <c r="T397" s="407"/>
      <c r="U397" s="407"/>
    </row>
    <row r="398" spans="1:21" x14ac:dyDescent="0.35">
      <c r="A398" s="418" t="s">
        <v>1102</v>
      </c>
      <c r="B398" s="376" t="s">
        <v>811</v>
      </c>
      <c r="C398" s="393" t="s">
        <v>360</v>
      </c>
      <c r="D398" s="401" t="s">
        <v>1533</v>
      </c>
      <c r="E398" s="406">
        <f t="shared" si="6"/>
        <v>397</v>
      </c>
      <c r="I398" s="407"/>
      <c r="J398" s="407"/>
    </row>
    <row r="399" spans="1:21" x14ac:dyDescent="0.35">
      <c r="B399" s="376" t="s">
        <v>812</v>
      </c>
      <c r="C399" s="393" t="s">
        <v>360</v>
      </c>
      <c r="D399" s="401" t="s">
        <v>1534</v>
      </c>
      <c r="E399" s="406">
        <f t="shared" si="6"/>
        <v>398</v>
      </c>
      <c r="I399" s="407"/>
      <c r="J399" s="407"/>
    </row>
    <row r="400" spans="1:21" x14ac:dyDescent="0.35">
      <c r="B400" s="376" t="s">
        <v>813</v>
      </c>
      <c r="C400" s="393" t="s">
        <v>360</v>
      </c>
      <c r="D400" s="401" t="s">
        <v>1535</v>
      </c>
      <c r="E400" s="406">
        <f t="shared" si="6"/>
        <v>399</v>
      </c>
      <c r="I400" s="407"/>
      <c r="J400" s="407"/>
    </row>
    <row r="401" spans="2:10" x14ac:dyDescent="0.35">
      <c r="B401" s="376" t="s">
        <v>814</v>
      </c>
      <c r="C401" s="393" t="s">
        <v>360</v>
      </c>
      <c r="D401" s="401" t="s">
        <v>1536</v>
      </c>
      <c r="E401" s="406">
        <f t="shared" si="6"/>
        <v>400</v>
      </c>
      <c r="I401" s="407"/>
      <c r="J401" s="407"/>
    </row>
    <row r="402" spans="2:10" x14ac:dyDescent="0.35">
      <c r="B402" s="376" t="s">
        <v>815</v>
      </c>
      <c r="C402" s="393" t="s">
        <v>400</v>
      </c>
      <c r="D402" s="401" t="s">
        <v>1537</v>
      </c>
      <c r="E402" s="406">
        <f t="shared" si="6"/>
        <v>401</v>
      </c>
      <c r="I402" s="407"/>
      <c r="J402" s="407"/>
    </row>
    <row r="403" spans="2:10" x14ac:dyDescent="0.35">
      <c r="B403" s="376" t="s">
        <v>816</v>
      </c>
      <c r="C403" s="393" t="s">
        <v>400</v>
      </c>
      <c r="D403" s="401" t="s">
        <v>817</v>
      </c>
      <c r="E403" s="406">
        <f t="shared" si="6"/>
        <v>402</v>
      </c>
      <c r="I403" s="407"/>
      <c r="J403" s="407"/>
    </row>
    <row r="404" spans="2:10" x14ac:dyDescent="0.35">
      <c r="B404" s="376" t="s">
        <v>818</v>
      </c>
      <c r="C404" s="393" t="s">
        <v>360</v>
      </c>
      <c r="D404" s="401" t="s">
        <v>819</v>
      </c>
      <c r="E404" s="406">
        <f t="shared" si="6"/>
        <v>403</v>
      </c>
      <c r="I404" s="407"/>
      <c r="J404" s="407"/>
    </row>
    <row r="405" spans="2:10" ht="28" x14ac:dyDescent="0.35">
      <c r="B405" s="376" t="s">
        <v>820</v>
      </c>
      <c r="C405" s="393" t="s">
        <v>402</v>
      </c>
      <c r="D405" s="401" t="s">
        <v>1538</v>
      </c>
      <c r="E405" s="406">
        <f t="shared" si="6"/>
        <v>404</v>
      </c>
      <c r="I405" s="407"/>
      <c r="J405" s="407"/>
    </row>
    <row r="406" spans="2:10" ht="28" x14ac:dyDescent="0.35">
      <c r="B406" s="376" t="s">
        <v>821</v>
      </c>
      <c r="C406" s="393" t="s">
        <v>360</v>
      </c>
      <c r="D406" s="401" t="s">
        <v>822</v>
      </c>
      <c r="E406" s="406">
        <f t="shared" si="6"/>
        <v>405</v>
      </c>
    </row>
    <row r="407" spans="2:10" x14ac:dyDescent="0.35">
      <c r="B407" s="376" t="s">
        <v>823</v>
      </c>
      <c r="C407" s="393" t="s">
        <v>360</v>
      </c>
      <c r="D407" s="401" t="s">
        <v>824</v>
      </c>
      <c r="E407" s="406">
        <f t="shared" si="6"/>
        <v>406</v>
      </c>
    </row>
    <row r="408" spans="2:10" ht="28" x14ac:dyDescent="0.35">
      <c r="B408" s="376" t="s">
        <v>825</v>
      </c>
      <c r="C408" s="393" t="s">
        <v>402</v>
      </c>
      <c r="D408" s="401" t="s">
        <v>1539</v>
      </c>
      <c r="E408" s="406">
        <f t="shared" si="6"/>
        <v>407</v>
      </c>
    </row>
    <row r="409" spans="2:10" ht="28" x14ac:dyDescent="0.35">
      <c r="B409" s="376" t="s">
        <v>826</v>
      </c>
      <c r="C409" s="393" t="s">
        <v>402</v>
      </c>
      <c r="D409" s="401" t="s">
        <v>1539</v>
      </c>
      <c r="E409" s="406">
        <f t="shared" si="6"/>
        <v>408</v>
      </c>
    </row>
    <row r="410" spans="2:10" x14ac:dyDescent="0.35">
      <c r="B410" s="376" t="s">
        <v>827</v>
      </c>
      <c r="C410" s="393" t="s">
        <v>400</v>
      </c>
      <c r="D410" s="401" t="s">
        <v>1540</v>
      </c>
      <c r="E410" s="406">
        <f t="shared" si="6"/>
        <v>409</v>
      </c>
    </row>
    <row r="411" spans="2:10" ht="28" x14ac:dyDescent="0.35">
      <c r="B411" s="376" t="s">
        <v>828</v>
      </c>
      <c r="C411" s="393" t="s">
        <v>402</v>
      </c>
      <c r="D411" s="401" t="s">
        <v>829</v>
      </c>
      <c r="E411" s="406">
        <f t="shared" si="6"/>
        <v>410</v>
      </c>
    </row>
    <row r="412" spans="2:10" ht="42" x14ac:dyDescent="0.35">
      <c r="B412" s="376" t="s">
        <v>830</v>
      </c>
      <c r="C412" s="393" t="s">
        <v>360</v>
      </c>
      <c r="D412" s="401" t="s">
        <v>831</v>
      </c>
      <c r="E412" s="406">
        <f t="shared" si="6"/>
        <v>411</v>
      </c>
    </row>
    <row r="413" spans="2:10" x14ac:dyDescent="0.35">
      <c r="B413" s="376" t="s">
        <v>1477</v>
      </c>
      <c r="C413" s="393" t="s">
        <v>400</v>
      </c>
      <c r="D413" s="401" t="s">
        <v>1541</v>
      </c>
    </row>
    <row r="414" spans="2:10" x14ac:dyDescent="0.35">
      <c r="B414" s="376" t="s">
        <v>1167</v>
      </c>
      <c r="C414" s="393" t="s">
        <v>360</v>
      </c>
      <c r="D414" s="401" t="s">
        <v>1188</v>
      </c>
    </row>
    <row r="415" spans="2:10" x14ac:dyDescent="0.35">
      <c r="B415" s="376" t="s">
        <v>832</v>
      </c>
      <c r="C415" s="393" t="s">
        <v>360</v>
      </c>
      <c r="D415" s="401" t="s">
        <v>833</v>
      </c>
    </row>
    <row r="416" spans="2:10" x14ac:dyDescent="0.35">
      <c r="B416" s="380" t="s">
        <v>834</v>
      </c>
      <c r="C416" s="393" t="s">
        <v>360</v>
      </c>
      <c r="D416" s="404" t="s">
        <v>1542</v>
      </c>
    </row>
    <row r="417" spans="2:4" x14ac:dyDescent="0.35">
      <c r="B417" s="418" t="s">
        <v>835</v>
      </c>
      <c r="C417" s="418" t="s">
        <v>400</v>
      </c>
      <c r="D417" s="419" t="s">
        <v>836</v>
      </c>
    </row>
  </sheetData>
  <sheetProtection selectLockedCells="1" sort="0"/>
  <customSheetViews>
    <customSheetView guid="{EBF27D8D-2DD9-43E5-8C42-19F0B73014F5}" scale="77" topLeftCell="E1">
      <selection activeCell="T20" sqref="T20"/>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115" zoomScaleNormal="115" workbookViewId="0">
      <selection activeCell="C20" sqref="C20"/>
    </sheetView>
  </sheetViews>
  <sheetFormatPr defaultRowHeight="15.5" x14ac:dyDescent="0.35"/>
  <cols>
    <col min="1" max="1" width="4" customWidth="1"/>
    <col min="2" max="2" width="9" customWidth="1"/>
    <col min="3" max="5" width="14.58203125" customWidth="1"/>
    <col min="7" max="7" width="13.75" bestFit="1" customWidth="1"/>
    <col min="9" max="9" width="13.75" bestFit="1" customWidth="1"/>
  </cols>
  <sheetData>
    <row r="1" spans="1:5" ht="18.5" x14ac:dyDescent="0.45">
      <c r="A1" s="1580" t="s">
        <v>1883</v>
      </c>
      <c r="B1" s="1580"/>
      <c r="C1" s="1580"/>
      <c r="D1" s="1580"/>
      <c r="E1" s="1580"/>
    </row>
    <row r="2" spans="1:5" ht="18.5" x14ac:dyDescent="0.45">
      <c r="A2" s="1580" t="s">
        <v>1884</v>
      </c>
      <c r="B2" s="1580"/>
      <c r="C2" s="1580"/>
      <c r="D2" s="1580"/>
      <c r="E2" s="1580"/>
    </row>
    <row r="4" spans="1:5" s="468" customFormat="1" ht="17" x14ac:dyDescent="0.4">
      <c r="A4" s="651" t="s">
        <v>1888</v>
      </c>
    </row>
    <row r="5" spans="1:5" s="468" customFormat="1" x14ac:dyDescent="0.35">
      <c r="A5" s="636"/>
    </row>
    <row r="6" spans="1:5" s="640" customFormat="1" ht="20.25" customHeight="1" x14ac:dyDescent="0.35">
      <c r="A6" s="657" t="s">
        <v>143</v>
      </c>
      <c r="B6" s="657" t="s">
        <v>1885</v>
      </c>
      <c r="C6" s="657" t="s">
        <v>266</v>
      </c>
      <c r="D6" s="657" t="s">
        <v>1886</v>
      </c>
      <c r="E6" s="657" t="s">
        <v>1887</v>
      </c>
    </row>
    <row r="7" spans="1:5" x14ac:dyDescent="0.35">
      <c r="A7" s="641">
        <v>1</v>
      </c>
      <c r="B7" s="642">
        <v>423141</v>
      </c>
      <c r="C7" s="643">
        <v>3045700</v>
      </c>
      <c r="D7" s="643">
        <v>0</v>
      </c>
      <c r="E7" s="643">
        <f>C7-D7</f>
        <v>3045700</v>
      </c>
    </row>
    <row r="8" spans="1:5" x14ac:dyDescent="0.35">
      <c r="A8" s="644">
        <f>A7+1</f>
        <v>2</v>
      </c>
      <c r="B8" s="645">
        <v>423759</v>
      </c>
      <c r="C8" s="646">
        <v>16496905</v>
      </c>
      <c r="D8" s="646">
        <v>0</v>
      </c>
      <c r="E8" s="646">
        <f>C8-D8</f>
        <v>16496905</v>
      </c>
    </row>
    <row r="9" spans="1:5" x14ac:dyDescent="0.35">
      <c r="A9" s="644">
        <f t="shared" ref="A9:A52" si="0">A8+1</f>
        <v>3</v>
      </c>
      <c r="B9" s="645">
        <v>423951</v>
      </c>
      <c r="C9" s="646">
        <v>87840</v>
      </c>
      <c r="D9" s="646">
        <v>0</v>
      </c>
      <c r="E9" s="646">
        <f>C9-D9</f>
        <v>87840</v>
      </c>
    </row>
    <row r="10" spans="1:5" x14ac:dyDescent="0.35">
      <c r="A10" s="644">
        <f t="shared" si="0"/>
        <v>4</v>
      </c>
      <c r="B10" s="645">
        <v>423991</v>
      </c>
      <c r="C10" s="646">
        <v>10867700</v>
      </c>
      <c r="D10" s="646">
        <v>0</v>
      </c>
      <c r="E10" s="646">
        <f>C10-D10</f>
        <v>10867700</v>
      </c>
    </row>
    <row r="11" spans="1:5" x14ac:dyDescent="0.35">
      <c r="A11" s="644">
        <f t="shared" si="0"/>
        <v>5</v>
      </c>
      <c r="B11" s="645"/>
      <c r="C11" s="646"/>
      <c r="D11" s="646"/>
      <c r="E11" s="646"/>
    </row>
    <row r="12" spans="1:5" x14ac:dyDescent="0.35">
      <c r="A12" s="644">
        <f t="shared" si="0"/>
        <v>6</v>
      </c>
      <c r="B12" s="645"/>
      <c r="C12" s="646"/>
      <c r="D12" s="646"/>
      <c r="E12" s="646"/>
    </row>
    <row r="13" spans="1:5" x14ac:dyDescent="0.35">
      <c r="A13" s="644">
        <f t="shared" si="0"/>
        <v>7</v>
      </c>
      <c r="B13" s="645"/>
      <c r="C13" s="646"/>
      <c r="D13" s="646"/>
      <c r="E13" s="646"/>
    </row>
    <row r="14" spans="1:5" x14ac:dyDescent="0.35">
      <c r="A14" s="644">
        <f t="shared" si="0"/>
        <v>8</v>
      </c>
      <c r="B14" s="645"/>
      <c r="C14" s="646"/>
      <c r="D14" s="646"/>
      <c r="E14" s="646"/>
    </row>
    <row r="15" spans="1:5" x14ac:dyDescent="0.35">
      <c r="A15" s="644">
        <f t="shared" si="0"/>
        <v>9</v>
      </c>
      <c r="B15" s="645"/>
      <c r="C15" s="646"/>
      <c r="D15" s="646"/>
      <c r="E15" s="646"/>
    </row>
    <row r="16" spans="1:5" x14ac:dyDescent="0.35">
      <c r="A16" s="647">
        <f t="shared" si="0"/>
        <v>10</v>
      </c>
      <c r="B16" s="648"/>
      <c r="C16" s="649"/>
      <c r="D16" s="649"/>
      <c r="E16" s="649"/>
    </row>
    <row r="17" spans="1:9" s="468" customFormat="1" ht="16" thickBot="1" x14ac:dyDescent="0.4">
      <c r="A17" s="1581" t="s">
        <v>318</v>
      </c>
      <c r="B17" s="1581"/>
      <c r="C17" s="656">
        <f>SUM(C7:C16)</f>
        <v>30498145</v>
      </c>
      <c r="D17" s="656">
        <f>SUM(D7:D16)</f>
        <v>0</v>
      </c>
      <c r="E17" s="656">
        <f>SUM(E7:E16)</f>
        <v>30498145</v>
      </c>
    </row>
    <row r="18" spans="1:9" s="468" customFormat="1" ht="16" thickTop="1" x14ac:dyDescent="0.35">
      <c r="A18" s="635"/>
      <c r="B18" s="635"/>
    </row>
    <row r="19" spans="1:9" s="468" customFormat="1" x14ac:dyDescent="0.35">
      <c r="A19" s="635"/>
      <c r="B19" s="635"/>
    </row>
    <row r="20" spans="1:9" s="468" customFormat="1" ht="17" x14ac:dyDescent="0.4">
      <c r="A20" s="650" t="s">
        <v>1889</v>
      </c>
      <c r="B20" s="635"/>
    </row>
    <row r="21" spans="1:9" s="468" customFormat="1" x14ac:dyDescent="0.35">
      <c r="A21" s="637"/>
      <c r="B21" s="639"/>
    </row>
    <row r="22" spans="1:9" s="545" customFormat="1" ht="19.5" customHeight="1" x14ac:dyDescent="0.35">
      <c r="A22" s="657" t="s">
        <v>143</v>
      </c>
      <c r="B22" s="657" t="s">
        <v>1885</v>
      </c>
      <c r="C22" s="657" t="s">
        <v>266</v>
      </c>
      <c r="D22" s="657" t="s">
        <v>1886</v>
      </c>
      <c r="E22" s="657" t="s">
        <v>1887</v>
      </c>
    </row>
    <row r="23" spans="1:9" x14ac:dyDescent="0.35">
      <c r="A23" s="652">
        <v>1</v>
      </c>
      <c r="B23" s="652">
        <v>521211</v>
      </c>
      <c r="C23" s="653">
        <f>20417150+33856975</f>
        <v>54274125</v>
      </c>
      <c r="D23" s="653">
        <v>0</v>
      </c>
      <c r="E23" s="653">
        <f>C23-D23</f>
        <v>54274125</v>
      </c>
    </row>
    <row r="24" spans="1:9" x14ac:dyDescent="0.35">
      <c r="A24" s="644">
        <f t="shared" si="0"/>
        <v>2</v>
      </c>
      <c r="B24" s="644">
        <v>521213</v>
      </c>
      <c r="C24" s="646">
        <f>900000+3950000+5500000</f>
        <v>10350000</v>
      </c>
      <c r="D24" s="646">
        <v>0</v>
      </c>
      <c r="E24" s="646">
        <f t="shared" ref="E24:E53" si="1">C24-D24</f>
        <v>10350000</v>
      </c>
    </row>
    <row r="25" spans="1:9" x14ac:dyDescent="0.35">
      <c r="A25" s="644">
        <f t="shared" si="0"/>
        <v>3</v>
      </c>
      <c r="B25" s="644">
        <v>521811</v>
      </c>
      <c r="C25" s="646">
        <f>10880500+39102100+30416000</f>
        <v>80398600</v>
      </c>
      <c r="D25" s="646">
        <v>0</v>
      </c>
      <c r="E25" s="646">
        <f t="shared" si="1"/>
        <v>80398600</v>
      </c>
    </row>
    <row r="26" spans="1:9" x14ac:dyDescent="0.35">
      <c r="A26" s="644">
        <f t="shared" si="0"/>
        <v>4</v>
      </c>
      <c r="B26" s="644">
        <v>522141</v>
      </c>
      <c r="C26" s="646">
        <v>0</v>
      </c>
      <c r="D26" s="646">
        <v>0</v>
      </c>
      <c r="E26" s="646">
        <f t="shared" si="1"/>
        <v>0</v>
      </c>
    </row>
    <row r="27" spans="1:9" x14ac:dyDescent="0.35">
      <c r="A27" s="644">
        <f t="shared" si="0"/>
        <v>5</v>
      </c>
      <c r="B27" s="644">
        <v>522151</v>
      </c>
      <c r="C27" s="646">
        <f>2500000+9050000</f>
        <v>11550000</v>
      </c>
      <c r="D27" s="646">
        <v>0</v>
      </c>
      <c r="E27" s="646">
        <f t="shared" si="1"/>
        <v>11550000</v>
      </c>
    </row>
    <row r="28" spans="1:9" x14ac:dyDescent="0.35">
      <c r="A28" s="644">
        <f t="shared" si="0"/>
        <v>6</v>
      </c>
      <c r="B28" s="644">
        <v>524113</v>
      </c>
      <c r="C28" s="646">
        <f>1210000+5720000+770000</f>
        <v>7700000</v>
      </c>
      <c r="D28" s="646">
        <v>0</v>
      </c>
      <c r="E28" s="646">
        <f t="shared" si="1"/>
        <v>7700000</v>
      </c>
      <c r="G28" s="640" t="s">
        <v>174</v>
      </c>
      <c r="H28" s="640" t="s">
        <v>1890</v>
      </c>
      <c r="I28" s="640" t="s">
        <v>183</v>
      </c>
    </row>
    <row r="29" spans="1:9" x14ac:dyDescent="0.35">
      <c r="A29" s="644">
        <f t="shared" si="0"/>
        <v>7</v>
      </c>
      <c r="B29" s="644">
        <v>511111</v>
      </c>
      <c r="C29" s="646">
        <v>1014442500</v>
      </c>
      <c r="D29" s="646">
        <v>0</v>
      </c>
      <c r="E29" s="646">
        <f t="shared" si="1"/>
        <v>1014442500</v>
      </c>
      <c r="F29" s="660">
        <v>51</v>
      </c>
      <c r="G29" s="659">
        <f>SUM(C29:C38)</f>
        <v>1471391197</v>
      </c>
      <c r="H29" s="659">
        <f>SUM(D29:D38)</f>
        <v>448922</v>
      </c>
      <c r="I29" s="659">
        <f>SUM(E29:E38)</f>
        <v>1470942275</v>
      </c>
    </row>
    <row r="30" spans="1:9" x14ac:dyDescent="0.35">
      <c r="A30" s="644">
        <f t="shared" si="0"/>
        <v>8</v>
      </c>
      <c r="B30" s="644">
        <v>511119</v>
      </c>
      <c r="C30" s="646">
        <v>29967</v>
      </c>
      <c r="D30" s="646">
        <v>6452</v>
      </c>
      <c r="E30" s="646">
        <f t="shared" si="1"/>
        <v>23515</v>
      </c>
      <c r="F30" s="660">
        <v>52</v>
      </c>
      <c r="G30" s="638">
        <f>C23+C24+C25+C26+C27+C28+C39+C40+C41+C42+C43+C44+C45+C46+C47</f>
        <v>441188191</v>
      </c>
      <c r="H30" s="638">
        <f>D23+D24+D25+D26+D27+D28+D39+D40+D41+D42+D43+D44+D45+D46+D47</f>
        <v>0</v>
      </c>
      <c r="I30" s="638">
        <f>E23+E24+E25+E26+E27+E28+E39+E40+E41+E42+E43+E44+E45+E46+E47</f>
        <v>441188191</v>
      </c>
    </row>
    <row r="31" spans="1:9" x14ac:dyDescent="0.35">
      <c r="A31" s="644">
        <f t="shared" si="0"/>
        <v>9</v>
      </c>
      <c r="B31" s="644">
        <v>511121</v>
      </c>
      <c r="C31" s="646">
        <v>59814840</v>
      </c>
      <c r="D31" s="646">
        <v>0</v>
      </c>
      <c r="E31" s="646">
        <f t="shared" si="1"/>
        <v>59814840</v>
      </c>
      <c r="F31" s="660">
        <v>53</v>
      </c>
      <c r="G31" s="659">
        <f>SUM(C47)</f>
        <v>46018000</v>
      </c>
      <c r="H31" s="659">
        <f>SUM(D47)</f>
        <v>0</v>
      </c>
      <c r="I31" s="659">
        <f>SUM(E47)</f>
        <v>46018000</v>
      </c>
    </row>
    <row r="32" spans="1:9" x14ac:dyDescent="0.35">
      <c r="A32" s="644">
        <f t="shared" si="0"/>
        <v>10</v>
      </c>
      <c r="B32" s="644">
        <v>511122</v>
      </c>
      <c r="C32" s="646">
        <v>18094162</v>
      </c>
      <c r="D32" s="646">
        <v>233190</v>
      </c>
      <c r="E32" s="646">
        <f t="shared" si="1"/>
        <v>17860972</v>
      </c>
    </row>
    <row r="33" spans="1:5" x14ac:dyDescent="0.35">
      <c r="A33" s="644">
        <f t="shared" si="0"/>
        <v>11</v>
      </c>
      <c r="B33" s="644">
        <v>511123</v>
      </c>
      <c r="C33" s="646">
        <v>23760000</v>
      </c>
      <c r="D33" s="646">
        <v>0</v>
      </c>
      <c r="E33" s="646">
        <f t="shared" si="1"/>
        <v>23760000</v>
      </c>
    </row>
    <row r="34" spans="1:5" x14ac:dyDescent="0.35">
      <c r="A34" s="644">
        <f t="shared" si="0"/>
        <v>12</v>
      </c>
      <c r="B34" s="644">
        <v>511125</v>
      </c>
      <c r="C34" s="646">
        <v>19348188</v>
      </c>
      <c r="D34" s="646">
        <v>0</v>
      </c>
      <c r="E34" s="646">
        <f t="shared" si="1"/>
        <v>19348188</v>
      </c>
    </row>
    <row r="35" spans="1:5" x14ac:dyDescent="0.35">
      <c r="A35" s="644">
        <f t="shared" si="0"/>
        <v>13</v>
      </c>
      <c r="B35" s="644">
        <v>511126</v>
      </c>
      <c r="C35" s="646">
        <v>60741540</v>
      </c>
      <c r="D35" s="646">
        <v>209280</v>
      </c>
      <c r="E35" s="646">
        <f t="shared" si="1"/>
        <v>60532260</v>
      </c>
    </row>
    <row r="36" spans="1:5" x14ac:dyDescent="0.35">
      <c r="A36" s="644">
        <f t="shared" si="0"/>
        <v>14</v>
      </c>
      <c r="B36" s="644">
        <v>511129</v>
      </c>
      <c r="C36" s="646">
        <v>167083000</v>
      </c>
      <c r="D36" s="646">
        <v>0</v>
      </c>
      <c r="E36" s="646">
        <f t="shared" si="1"/>
        <v>167083000</v>
      </c>
    </row>
    <row r="37" spans="1:5" x14ac:dyDescent="0.35">
      <c r="A37" s="644">
        <f t="shared" si="0"/>
        <v>15</v>
      </c>
      <c r="B37" s="644">
        <v>511151</v>
      </c>
      <c r="C37" s="646">
        <v>51460000</v>
      </c>
      <c r="D37" s="646">
        <v>0</v>
      </c>
      <c r="E37" s="646">
        <f t="shared" si="1"/>
        <v>51460000</v>
      </c>
    </row>
    <row r="38" spans="1:5" x14ac:dyDescent="0.35">
      <c r="A38" s="644">
        <f t="shared" si="0"/>
        <v>16</v>
      </c>
      <c r="B38" s="644">
        <v>512211</v>
      </c>
      <c r="C38" s="646">
        <v>56617000</v>
      </c>
      <c r="D38" s="646">
        <v>0</v>
      </c>
      <c r="E38" s="646">
        <f t="shared" si="1"/>
        <v>56617000</v>
      </c>
    </row>
    <row r="39" spans="1:5" x14ac:dyDescent="0.35">
      <c r="A39" s="644">
        <f t="shared" si="0"/>
        <v>17</v>
      </c>
      <c r="B39" s="644">
        <v>521111</v>
      </c>
      <c r="C39" s="646">
        <v>86328639</v>
      </c>
      <c r="D39" s="646">
        <v>0</v>
      </c>
      <c r="E39" s="646">
        <f t="shared" si="1"/>
        <v>86328639</v>
      </c>
    </row>
    <row r="40" spans="1:5" x14ac:dyDescent="0.35">
      <c r="A40" s="644">
        <f t="shared" si="0"/>
        <v>18</v>
      </c>
      <c r="B40" s="644">
        <v>521114</v>
      </c>
      <c r="C40" s="646">
        <v>12723505</v>
      </c>
      <c r="D40" s="646">
        <v>0</v>
      </c>
      <c r="E40" s="646">
        <f t="shared" si="1"/>
        <v>12723505</v>
      </c>
    </row>
    <row r="41" spans="1:5" x14ac:dyDescent="0.35">
      <c r="A41" s="644">
        <f t="shared" si="0"/>
        <v>19</v>
      </c>
      <c r="B41" s="644">
        <v>521115</v>
      </c>
      <c r="C41" s="646">
        <v>33700000</v>
      </c>
      <c r="D41" s="646">
        <v>0</v>
      </c>
      <c r="E41" s="646">
        <f t="shared" si="1"/>
        <v>33700000</v>
      </c>
    </row>
    <row r="42" spans="1:5" x14ac:dyDescent="0.35">
      <c r="A42" s="644">
        <f t="shared" si="0"/>
        <v>20</v>
      </c>
      <c r="B42" s="644">
        <v>521119</v>
      </c>
      <c r="C42" s="646">
        <v>50040100</v>
      </c>
      <c r="D42" s="646">
        <v>0</v>
      </c>
      <c r="E42" s="646">
        <f t="shared" si="1"/>
        <v>50040100</v>
      </c>
    </row>
    <row r="43" spans="1:5" s="468" customFormat="1" x14ac:dyDescent="0.35">
      <c r="A43" s="644">
        <f t="shared" si="0"/>
        <v>21</v>
      </c>
      <c r="B43" s="644">
        <v>522112</v>
      </c>
      <c r="C43" s="646">
        <v>15499400</v>
      </c>
      <c r="D43" s="646">
        <v>0</v>
      </c>
      <c r="E43" s="646">
        <f t="shared" si="1"/>
        <v>15499400</v>
      </c>
    </row>
    <row r="44" spans="1:5" s="468" customFormat="1" x14ac:dyDescent="0.35">
      <c r="A44" s="644">
        <f t="shared" si="0"/>
        <v>22</v>
      </c>
      <c r="B44" s="644">
        <v>522119</v>
      </c>
      <c r="C44" s="646">
        <v>910800</v>
      </c>
      <c r="D44" s="646">
        <v>0</v>
      </c>
      <c r="E44" s="646">
        <f t="shared" si="1"/>
        <v>910800</v>
      </c>
    </row>
    <row r="45" spans="1:5" s="468" customFormat="1" x14ac:dyDescent="0.35">
      <c r="A45" s="644">
        <f t="shared" si="0"/>
        <v>23</v>
      </c>
      <c r="B45" s="644">
        <v>523121</v>
      </c>
      <c r="C45" s="646">
        <v>24765022</v>
      </c>
      <c r="D45" s="646">
        <v>0</v>
      </c>
      <c r="E45" s="646">
        <f t="shared" si="1"/>
        <v>24765022</v>
      </c>
    </row>
    <row r="46" spans="1:5" s="468" customFormat="1" x14ac:dyDescent="0.35">
      <c r="A46" s="644">
        <f t="shared" si="0"/>
        <v>24</v>
      </c>
      <c r="B46" s="644">
        <v>524111</v>
      </c>
      <c r="C46" s="646">
        <v>6930000</v>
      </c>
      <c r="D46" s="646">
        <v>0</v>
      </c>
      <c r="E46" s="646">
        <f t="shared" si="1"/>
        <v>6930000</v>
      </c>
    </row>
    <row r="47" spans="1:5" s="468" customFormat="1" x14ac:dyDescent="0.35">
      <c r="A47" s="644">
        <f t="shared" si="0"/>
        <v>25</v>
      </c>
      <c r="B47" s="644">
        <v>532111</v>
      </c>
      <c r="C47" s="646">
        <f>14960000+31058000</f>
        <v>46018000</v>
      </c>
      <c r="D47" s="646">
        <v>0</v>
      </c>
      <c r="E47" s="646">
        <f t="shared" si="1"/>
        <v>46018000</v>
      </c>
    </row>
    <row r="48" spans="1:5" s="468" customFormat="1" x14ac:dyDescent="0.35">
      <c r="A48" s="644">
        <f t="shared" si="0"/>
        <v>26</v>
      </c>
      <c r="B48" s="644"/>
      <c r="C48" s="646"/>
      <c r="D48" s="646"/>
      <c r="E48" s="646">
        <f t="shared" si="1"/>
        <v>0</v>
      </c>
    </row>
    <row r="49" spans="1:5" s="468" customFormat="1" x14ac:dyDescent="0.35">
      <c r="A49" s="644">
        <f t="shared" si="0"/>
        <v>27</v>
      </c>
      <c r="B49" s="644"/>
      <c r="C49" s="646"/>
      <c r="D49" s="646"/>
      <c r="E49" s="646">
        <f t="shared" si="1"/>
        <v>0</v>
      </c>
    </row>
    <row r="50" spans="1:5" s="468" customFormat="1" x14ac:dyDescent="0.35">
      <c r="A50" s="644">
        <f t="shared" si="0"/>
        <v>28</v>
      </c>
      <c r="B50" s="644"/>
      <c r="C50" s="646"/>
      <c r="D50" s="646"/>
      <c r="E50" s="646">
        <f t="shared" si="1"/>
        <v>0</v>
      </c>
    </row>
    <row r="51" spans="1:5" s="468" customFormat="1" x14ac:dyDescent="0.35">
      <c r="A51" s="644">
        <f t="shared" si="0"/>
        <v>29</v>
      </c>
      <c r="B51" s="644"/>
      <c r="C51" s="646"/>
      <c r="D51" s="646"/>
      <c r="E51" s="646">
        <f t="shared" si="1"/>
        <v>0</v>
      </c>
    </row>
    <row r="52" spans="1:5" s="468" customFormat="1" x14ac:dyDescent="0.35">
      <c r="A52" s="644">
        <f t="shared" si="0"/>
        <v>30</v>
      </c>
      <c r="B52" s="644"/>
      <c r="C52" s="646"/>
      <c r="D52" s="646"/>
      <c r="E52" s="646">
        <f t="shared" si="1"/>
        <v>0</v>
      </c>
    </row>
    <row r="53" spans="1:5" s="468" customFormat="1" x14ac:dyDescent="0.35">
      <c r="A53" s="654"/>
      <c r="B53" s="654"/>
      <c r="C53" s="655"/>
      <c r="D53" s="655"/>
      <c r="E53" s="655">
        <f t="shared" si="1"/>
        <v>0</v>
      </c>
    </row>
    <row r="54" spans="1:5" ht="16" thickBot="1" x14ac:dyDescent="0.4">
      <c r="A54" s="1581" t="s">
        <v>318</v>
      </c>
      <c r="B54" s="1581"/>
      <c r="C54" s="656">
        <f>SUM(C23:C47)</f>
        <v>1912579388</v>
      </c>
      <c r="D54" s="656">
        <f>SUM(D23:D47)</f>
        <v>448922</v>
      </c>
      <c r="E54" s="656">
        <f>SUM(E23:E47)</f>
        <v>1912130466</v>
      </c>
    </row>
    <row r="55" spans="1:5" ht="16" thickTop="1" x14ac:dyDescent="0.35"/>
    <row r="56" spans="1:5" x14ac:dyDescent="0.35">
      <c r="C56" s="659">
        <f>C54+0</f>
        <v>1912579388</v>
      </c>
    </row>
  </sheetData>
  <mergeCells count="4">
    <mergeCell ref="A1:E1"/>
    <mergeCell ref="A2:E2"/>
    <mergeCell ref="A17:B17"/>
    <mergeCell ref="A54:B54"/>
  </mergeCells>
  <pageMargins left="0.71" right="0.70866141732283472" top="0.44" bottom="0.61"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S1222"/>
  <sheetViews>
    <sheetView topLeftCell="B811" zoomScaleNormal="100" zoomScaleSheetLayoutView="100" workbookViewId="0">
      <selection activeCell="A623" sqref="A623:XFD623"/>
    </sheetView>
  </sheetViews>
  <sheetFormatPr defaultColWidth="9" defaultRowHeight="14" x14ac:dyDescent="0.3"/>
  <cols>
    <col min="1" max="1" width="9" style="67"/>
    <col min="2" max="2" width="3.75" style="67" customWidth="1"/>
    <col min="3" max="3" width="6.5" style="67" customWidth="1"/>
    <col min="4" max="4" width="2.33203125" style="67" customWidth="1"/>
    <col min="5" max="5" width="4.58203125" style="67" customWidth="1"/>
    <col min="6" max="6" width="10.83203125" style="67" customWidth="1"/>
    <col min="7" max="7" width="12.25" style="67" customWidth="1"/>
    <col min="8" max="8" width="14.58203125" style="67" customWidth="1"/>
    <col min="9" max="9" width="4.58203125" style="67" customWidth="1"/>
    <col min="10" max="10" width="12" style="67" customWidth="1"/>
    <col min="11" max="11" width="5.25" style="67" customWidth="1"/>
    <col min="12" max="12" width="15.33203125" style="67" customWidth="1"/>
    <col min="13" max="13" width="16.75" style="67" customWidth="1"/>
    <col min="14" max="14" width="4.58203125" style="67" customWidth="1"/>
    <col min="15" max="15" width="5.25" style="67" customWidth="1"/>
    <col min="16" max="16" width="6" style="67" customWidth="1"/>
    <col min="17" max="17" width="8.83203125" style="67" customWidth="1"/>
    <col min="18" max="18" width="4.75" style="67" customWidth="1"/>
    <col min="19" max="19" width="6" style="67" customWidth="1"/>
    <col min="20" max="20" width="5.33203125" style="67" customWidth="1"/>
    <col min="21" max="21" width="3.5" style="67" customWidth="1"/>
    <col min="22" max="22" width="7.08203125" style="67" customWidth="1"/>
    <col min="23" max="23" width="3.83203125" style="67" customWidth="1"/>
    <col min="24" max="24" width="7.08203125" style="67" customWidth="1"/>
    <col min="25" max="25" width="6.58203125" style="67" bestFit="1" customWidth="1"/>
    <col min="26" max="26" width="5.5" style="67" customWidth="1"/>
    <col min="27" max="27" width="5.58203125" style="67" customWidth="1"/>
    <col min="28" max="28" width="6.25" style="67" customWidth="1"/>
    <col min="29" max="29" width="3" style="67" customWidth="1"/>
    <col min="30" max="30" width="4.83203125" style="67" customWidth="1"/>
    <col min="31" max="31" width="4.58203125" style="68" customWidth="1"/>
    <col min="32" max="32" width="4" style="68" customWidth="1"/>
    <col min="33" max="33" width="5.75" style="68" customWidth="1"/>
    <col min="34" max="34" width="5.08203125" style="68" customWidth="1"/>
    <col min="35" max="35" width="3.25" style="67" customWidth="1"/>
    <col min="36" max="36" width="3.08203125" style="67" customWidth="1"/>
    <col min="37" max="38" width="4.58203125" style="67" customWidth="1"/>
    <col min="39" max="257" width="4.58203125" style="67"/>
    <col min="258" max="258" width="3.75" style="67" customWidth="1"/>
    <col min="259" max="259" width="6.5" style="67" customWidth="1"/>
    <col min="260" max="260" width="2.33203125" style="67" customWidth="1"/>
    <col min="261" max="261" width="4.58203125" style="67" customWidth="1"/>
    <col min="262" max="262" width="5.5" style="67" customWidth="1"/>
    <col min="263" max="263" width="11.5" style="67" customWidth="1"/>
    <col min="264" max="264" width="13.5" style="67" customWidth="1"/>
    <col min="265" max="265" width="4.58203125" style="67" customWidth="1"/>
    <col min="266" max="266" width="10.75" style="67" customWidth="1"/>
    <col min="267" max="267" width="3.25" style="67" customWidth="1"/>
    <col min="268" max="268" width="12.5" style="67" customWidth="1"/>
    <col min="269" max="269" width="13.58203125" style="67" customWidth="1"/>
    <col min="270" max="270" width="4.58203125" style="67" customWidth="1"/>
    <col min="271" max="271" width="5.25" style="67" customWidth="1"/>
    <col min="272" max="272" width="6" style="67" customWidth="1"/>
    <col min="273" max="273" width="7.08203125" style="67" customWidth="1"/>
    <col min="274" max="274" width="4.75" style="67" customWidth="1"/>
    <col min="275" max="275" width="6" style="67" customWidth="1"/>
    <col min="276" max="276" width="5.33203125" style="67" customWidth="1"/>
    <col min="277" max="277" width="3.5" style="67" customWidth="1"/>
    <col min="278" max="278" width="7.08203125" style="67" customWidth="1"/>
    <col min="279" max="279" width="3.83203125" style="67" customWidth="1"/>
    <col min="280" max="280" width="7.08203125" style="67" customWidth="1"/>
    <col min="281" max="281" width="5.08203125" style="67" customWidth="1"/>
    <col min="282" max="282" width="5.5" style="67" customWidth="1"/>
    <col min="283" max="283" width="5.58203125" style="67" customWidth="1"/>
    <col min="284" max="284" width="6.25" style="67" customWidth="1"/>
    <col min="285" max="285" width="3" style="67" customWidth="1"/>
    <col min="286" max="286" width="4.83203125" style="67" customWidth="1"/>
    <col min="287" max="287" width="4.58203125" style="67" customWidth="1"/>
    <col min="288" max="288" width="4" style="67" customWidth="1"/>
    <col min="289" max="289" width="5.75" style="67" customWidth="1"/>
    <col min="290" max="290" width="5.08203125" style="67" customWidth="1"/>
    <col min="291" max="291" width="3.25" style="67" customWidth="1"/>
    <col min="292" max="292" width="3.08203125" style="67" customWidth="1"/>
    <col min="293" max="513" width="4.58203125" style="67"/>
    <col min="514" max="514" width="3.75" style="67" customWidth="1"/>
    <col min="515" max="515" width="6.5" style="67" customWidth="1"/>
    <col min="516" max="516" width="2.33203125" style="67" customWidth="1"/>
    <col min="517" max="517" width="4.58203125" style="67" customWidth="1"/>
    <col min="518" max="518" width="5.5" style="67" customWidth="1"/>
    <col min="519" max="519" width="11.5" style="67" customWidth="1"/>
    <col min="520" max="520" width="13.5" style="67" customWidth="1"/>
    <col min="521" max="521" width="4.58203125" style="67" customWidth="1"/>
    <col min="522" max="522" width="10.75" style="67" customWidth="1"/>
    <col min="523" max="523" width="3.25" style="67" customWidth="1"/>
    <col min="524" max="524" width="12.5" style="67" customWidth="1"/>
    <col min="525" max="525" width="13.58203125" style="67" customWidth="1"/>
    <col min="526" max="526" width="4.58203125" style="67" customWidth="1"/>
    <col min="527" max="527" width="5.25" style="67" customWidth="1"/>
    <col min="528" max="528" width="6" style="67" customWidth="1"/>
    <col min="529" max="529" width="7.08203125" style="67" customWidth="1"/>
    <col min="530" max="530" width="4.75" style="67" customWidth="1"/>
    <col min="531" max="531" width="6" style="67" customWidth="1"/>
    <col min="532" max="532" width="5.33203125" style="67" customWidth="1"/>
    <col min="533" max="533" width="3.5" style="67" customWidth="1"/>
    <col min="534" max="534" width="7.08203125" style="67" customWidth="1"/>
    <col min="535" max="535" width="3.83203125" style="67" customWidth="1"/>
    <col min="536" max="536" width="7.08203125" style="67" customWidth="1"/>
    <col min="537" max="537" width="5.08203125" style="67" customWidth="1"/>
    <col min="538" max="538" width="5.5" style="67" customWidth="1"/>
    <col min="539" max="539" width="5.58203125" style="67" customWidth="1"/>
    <col min="540" max="540" width="6.25" style="67" customWidth="1"/>
    <col min="541" max="541" width="3" style="67" customWidth="1"/>
    <col min="542" max="542" width="4.83203125" style="67" customWidth="1"/>
    <col min="543" max="543" width="4.58203125" style="67" customWidth="1"/>
    <col min="544" max="544" width="4" style="67" customWidth="1"/>
    <col min="545" max="545" width="5.75" style="67" customWidth="1"/>
    <col min="546" max="546" width="5.08203125" style="67" customWidth="1"/>
    <col min="547" max="547" width="3.25" style="67" customWidth="1"/>
    <col min="548" max="548" width="3.08203125" style="67" customWidth="1"/>
    <col min="549" max="769" width="4.58203125" style="67"/>
    <col min="770" max="770" width="3.75" style="67" customWidth="1"/>
    <col min="771" max="771" width="6.5" style="67" customWidth="1"/>
    <col min="772" max="772" width="2.33203125" style="67" customWidth="1"/>
    <col min="773" max="773" width="4.58203125" style="67" customWidth="1"/>
    <col min="774" max="774" width="5.5" style="67" customWidth="1"/>
    <col min="775" max="775" width="11.5" style="67" customWidth="1"/>
    <col min="776" max="776" width="13.5" style="67" customWidth="1"/>
    <col min="777" max="777" width="4.58203125" style="67" customWidth="1"/>
    <col min="778" max="778" width="10.75" style="67" customWidth="1"/>
    <col min="779" max="779" width="3.25" style="67" customWidth="1"/>
    <col min="780" max="780" width="12.5" style="67" customWidth="1"/>
    <col min="781" max="781" width="13.58203125" style="67" customWidth="1"/>
    <col min="782" max="782" width="4.58203125" style="67" customWidth="1"/>
    <col min="783" max="783" width="5.25" style="67" customWidth="1"/>
    <col min="784" max="784" width="6" style="67" customWidth="1"/>
    <col min="785" max="785" width="7.08203125" style="67" customWidth="1"/>
    <col min="786" max="786" width="4.75" style="67" customWidth="1"/>
    <col min="787" max="787" width="6" style="67" customWidth="1"/>
    <col min="788" max="788" width="5.33203125" style="67" customWidth="1"/>
    <col min="789" max="789" width="3.5" style="67" customWidth="1"/>
    <col min="790" max="790" width="7.08203125" style="67" customWidth="1"/>
    <col min="791" max="791" width="3.83203125" style="67" customWidth="1"/>
    <col min="792" max="792" width="7.08203125" style="67" customWidth="1"/>
    <col min="793" max="793" width="5.08203125" style="67" customWidth="1"/>
    <col min="794" max="794" width="5.5" style="67" customWidth="1"/>
    <col min="795" max="795" width="5.58203125" style="67" customWidth="1"/>
    <col min="796" max="796" width="6.25" style="67" customWidth="1"/>
    <col min="797" max="797" width="3" style="67" customWidth="1"/>
    <col min="798" max="798" width="4.83203125" style="67" customWidth="1"/>
    <col min="799" max="799" width="4.58203125" style="67" customWidth="1"/>
    <col min="800" max="800" width="4" style="67" customWidth="1"/>
    <col min="801" max="801" width="5.75" style="67" customWidth="1"/>
    <col min="802" max="802" width="5.08203125" style="67" customWidth="1"/>
    <col min="803" max="803" width="3.25" style="67" customWidth="1"/>
    <col min="804" max="804" width="3.08203125" style="67" customWidth="1"/>
    <col min="805" max="1025" width="9" style="67"/>
    <col min="1026" max="1026" width="3.75" style="67" customWidth="1"/>
    <col min="1027" max="1027" width="6.5" style="67" customWidth="1"/>
    <col min="1028" max="1028" width="2.33203125" style="67" customWidth="1"/>
    <col min="1029" max="1029" width="4.58203125" style="67" customWidth="1"/>
    <col min="1030" max="1030" width="5.5" style="67" customWidth="1"/>
    <col min="1031" max="1031" width="11.5" style="67" customWidth="1"/>
    <col min="1032" max="1032" width="13.5" style="67" customWidth="1"/>
    <col min="1033" max="1033" width="4.58203125" style="67" customWidth="1"/>
    <col min="1034" max="1034" width="10.75" style="67" customWidth="1"/>
    <col min="1035" max="1035" width="3.25" style="67" customWidth="1"/>
    <col min="1036" max="1036" width="12.5" style="67" customWidth="1"/>
    <col min="1037" max="1037" width="13.58203125" style="67" customWidth="1"/>
    <col min="1038" max="1038" width="4.58203125" style="67" customWidth="1"/>
    <col min="1039" max="1039" width="5.25" style="67" customWidth="1"/>
    <col min="1040" max="1040" width="6" style="67" customWidth="1"/>
    <col min="1041" max="1041" width="7.08203125" style="67" customWidth="1"/>
    <col min="1042" max="1042" width="4.75" style="67" customWidth="1"/>
    <col min="1043" max="1043" width="6" style="67" customWidth="1"/>
    <col min="1044" max="1044" width="5.33203125" style="67" customWidth="1"/>
    <col min="1045" max="1045" width="3.5" style="67" customWidth="1"/>
    <col min="1046" max="1046" width="7.08203125" style="67" customWidth="1"/>
    <col min="1047" max="1047" width="3.83203125" style="67" customWidth="1"/>
    <col min="1048" max="1048" width="7.08203125" style="67" customWidth="1"/>
    <col min="1049" max="1049" width="5.08203125" style="67" customWidth="1"/>
    <col min="1050" max="1050" width="5.5" style="67" customWidth="1"/>
    <col min="1051" max="1051" width="5.58203125" style="67" customWidth="1"/>
    <col min="1052" max="1052" width="6.25" style="67" customWidth="1"/>
    <col min="1053" max="1053" width="3" style="67" customWidth="1"/>
    <col min="1054" max="1054" width="4.83203125" style="67" customWidth="1"/>
    <col min="1055" max="1055" width="4.58203125" style="67" customWidth="1"/>
    <col min="1056" max="1056" width="4" style="67" customWidth="1"/>
    <col min="1057" max="1057" width="5.75" style="67" customWidth="1"/>
    <col min="1058" max="1058" width="5.08203125" style="67" customWidth="1"/>
    <col min="1059" max="1059" width="3.25" style="67" customWidth="1"/>
    <col min="1060" max="1060" width="3.08203125" style="67" customWidth="1"/>
    <col min="1061" max="1281" width="4.58203125" style="67"/>
    <col min="1282" max="1282" width="3.75" style="67" customWidth="1"/>
    <col min="1283" max="1283" width="6.5" style="67" customWidth="1"/>
    <col min="1284" max="1284" width="2.33203125" style="67" customWidth="1"/>
    <col min="1285" max="1285" width="4.58203125" style="67" customWidth="1"/>
    <col min="1286" max="1286" width="5.5" style="67" customWidth="1"/>
    <col min="1287" max="1287" width="11.5" style="67" customWidth="1"/>
    <col min="1288" max="1288" width="13.5" style="67" customWidth="1"/>
    <col min="1289" max="1289" width="4.58203125" style="67" customWidth="1"/>
    <col min="1290" max="1290" width="10.75" style="67" customWidth="1"/>
    <col min="1291" max="1291" width="3.25" style="67" customWidth="1"/>
    <col min="1292" max="1292" width="12.5" style="67" customWidth="1"/>
    <col min="1293" max="1293" width="13.58203125" style="67" customWidth="1"/>
    <col min="1294" max="1294" width="4.58203125" style="67" customWidth="1"/>
    <col min="1295" max="1295" width="5.25" style="67" customWidth="1"/>
    <col min="1296" max="1296" width="6" style="67" customWidth="1"/>
    <col min="1297" max="1297" width="7.08203125" style="67" customWidth="1"/>
    <col min="1298" max="1298" width="4.75" style="67" customWidth="1"/>
    <col min="1299" max="1299" width="6" style="67" customWidth="1"/>
    <col min="1300" max="1300" width="5.33203125" style="67" customWidth="1"/>
    <col min="1301" max="1301" width="3.5" style="67" customWidth="1"/>
    <col min="1302" max="1302" width="7.08203125" style="67" customWidth="1"/>
    <col min="1303" max="1303" width="3.83203125" style="67" customWidth="1"/>
    <col min="1304" max="1304" width="7.08203125" style="67" customWidth="1"/>
    <col min="1305" max="1305" width="5.08203125" style="67" customWidth="1"/>
    <col min="1306" max="1306" width="5.5" style="67" customWidth="1"/>
    <col min="1307" max="1307" width="5.58203125" style="67" customWidth="1"/>
    <col min="1308" max="1308" width="6.25" style="67" customWidth="1"/>
    <col min="1309" max="1309" width="3" style="67" customWidth="1"/>
    <col min="1310" max="1310" width="4.83203125" style="67" customWidth="1"/>
    <col min="1311" max="1311" width="4.58203125" style="67" customWidth="1"/>
    <col min="1312" max="1312" width="4" style="67" customWidth="1"/>
    <col min="1313" max="1313" width="5.75" style="67" customWidth="1"/>
    <col min="1314" max="1314" width="5.08203125" style="67" customWidth="1"/>
    <col min="1315" max="1315" width="3.25" style="67" customWidth="1"/>
    <col min="1316" max="1316" width="3.08203125" style="67" customWidth="1"/>
    <col min="1317" max="1537" width="4.58203125" style="67"/>
    <col min="1538" max="1538" width="3.75" style="67" customWidth="1"/>
    <col min="1539" max="1539" width="6.5" style="67" customWidth="1"/>
    <col min="1540" max="1540" width="2.33203125" style="67" customWidth="1"/>
    <col min="1541" max="1541" width="4.58203125" style="67" customWidth="1"/>
    <col min="1542" max="1542" width="5.5" style="67" customWidth="1"/>
    <col min="1543" max="1543" width="11.5" style="67" customWidth="1"/>
    <col min="1544" max="1544" width="13.5" style="67" customWidth="1"/>
    <col min="1545" max="1545" width="4.58203125" style="67" customWidth="1"/>
    <col min="1546" max="1546" width="10.75" style="67" customWidth="1"/>
    <col min="1547" max="1547" width="3.25" style="67" customWidth="1"/>
    <col min="1548" max="1548" width="12.5" style="67" customWidth="1"/>
    <col min="1549" max="1549" width="13.58203125" style="67" customWidth="1"/>
    <col min="1550" max="1550" width="4.58203125" style="67" customWidth="1"/>
    <col min="1551" max="1551" width="5.25" style="67" customWidth="1"/>
    <col min="1552" max="1552" width="6" style="67" customWidth="1"/>
    <col min="1553" max="1553" width="7.08203125" style="67" customWidth="1"/>
    <col min="1554" max="1554" width="4.75" style="67" customWidth="1"/>
    <col min="1555" max="1555" width="6" style="67" customWidth="1"/>
    <col min="1556" max="1556" width="5.33203125" style="67" customWidth="1"/>
    <col min="1557" max="1557" width="3.5" style="67" customWidth="1"/>
    <col min="1558" max="1558" width="7.08203125" style="67" customWidth="1"/>
    <col min="1559" max="1559" width="3.83203125" style="67" customWidth="1"/>
    <col min="1560" max="1560" width="7.08203125" style="67" customWidth="1"/>
    <col min="1561" max="1561" width="5.08203125" style="67" customWidth="1"/>
    <col min="1562" max="1562" width="5.5" style="67" customWidth="1"/>
    <col min="1563" max="1563" width="5.58203125" style="67" customWidth="1"/>
    <col min="1564" max="1564" width="6.25" style="67" customWidth="1"/>
    <col min="1565" max="1565" width="3" style="67" customWidth="1"/>
    <col min="1566" max="1566" width="4.83203125" style="67" customWidth="1"/>
    <col min="1567" max="1567" width="4.58203125" style="67" customWidth="1"/>
    <col min="1568" max="1568" width="4" style="67" customWidth="1"/>
    <col min="1569" max="1569" width="5.75" style="67" customWidth="1"/>
    <col min="1570" max="1570" width="5.08203125" style="67" customWidth="1"/>
    <col min="1571" max="1571" width="3.25" style="67" customWidth="1"/>
    <col min="1572" max="1572" width="3.08203125" style="67" customWidth="1"/>
    <col min="1573" max="1793" width="4.58203125" style="67"/>
    <col min="1794" max="1794" width="3.75" style="67" customWidth="1"/>
    <col min="1795" max="1795" width="6.5" style="67" customWidth="1"/>
    <col min="1796" max="1796" width="2.33203125" style="67" customWidth="1"/>
    <col min="1797" max="1797" width="4.58203125" style="67" customWidth="1"/>
    <col min="1798" max="1798" width="5.5" style="67" customWidth="1"/>
    <col min="1799" max="1799" width="11.5" style="67" customWidth="1"/>
    <col min="1800" max="1800" width="13.5" style="67" customWidth="1"/>
    <col min="1801" max="1801" width="4.58203125" style="67" customWidth="1"/>
    <col min="1802" max="1802" width="10.75" style="67" customWidth="1"/>
    <col min="1803" max="1803" width="3.25" style="67" customWidth="1"/>
    <col min="1804" max="1804" width="12.5" style="67" customWidth="1"/>
    <col min="1805" max="1805" width="13.58203125" style="67" customWidth="1"/>
    <col min="1806" max="1806" width="4.58203125" style="67" customWidth="1"/>
    <col min="1807" max="1807" width="5.25" style="67" customWidth="1"/>
    <col min="1808" max="1808" width="6" style="67" customWidth="1"/>
    <col min="1809" max="1809" width="7.08203125" style="67" customWidth="1"/>
    <col min="1810" max="1810" width="4.75" style="67" customWidth="1"/>
    <col min="1811" max="1811" width="6" style="67" customWidth="1"/>
    <col min="1812" max="1812" width="5.33203125" style="67" customWidth="1"/>
    <col min="1813" max="1813" width="3.5" style="67" customWidth="1"/>
    <col min="1814" max="1814" width="7.08203125" style="67" customWidth="1"/>
    <col min="1815" max="1815" width="3.83203125" style="67" customWidth="1"/>
    <col min="1816" max="1816" width="7.08203125" style="67" customWidth="1"/>
    <col min="1817" max="1817" width="5.08203125" style="67" customWidth="1"/>
    <col min="1818" max="1818" width="5.5" style="67" customWidth="1"/>
    <col min="1819" max="1819" width="5.58203125" style="67" customWidth="1"/>
    <col min="1820" max="1820" width="6.25" style="67" customWidth="1"/>
    <col min="1821" max="1821" width="3" style="67" customWidth="1"/>
    <col min="1822" max="1822" width="4.83203125" style="67" customWidth="1"/>
    <col min="1823" max="1823" width="4.58203125" style="67" customWidth="1"/>
    <col min="1824" max="1824" width="4" style="67" customWidth="1"/>
    <col min="1825" max="1825" width="5.75" style="67" customWidth="1"/>
    <col min="1826" max="1826" width="5.08203125" style="67" customWidth="1"/>
    <col min="1827" max="1827" width="3.25" style="67" customWidth="1"/>
    <col min="1828" max="1828" width="3.08203125" style="67" customWidth="1"/>
    <col min="1829" max="2049" width="9" style="67"/>
    <col min="2050" max="2050" width="3.75" style="67" customWidth="1"/>
    <col min="2051" max="2051" width="6.5" style="67" customWidth="1"/>
    <col min="2052" max="2052" width="2.33203125" style="67" customWidth="1"/>
    <col min="2053" max="2053" width="4.58203125" style="67" customWidth="1"/>
    <col min="2054" max="2054" width="5.5" style="67" customWidth="1"/>
    <col min="2055" max="2055" width="11.5" style="67" customWidth="1"/>
    <col min="2056" max="2056" width="13.5" style="67" customWidth="1"/>
    <col min="2057" max="2057" width="4.58203125" style="67" customWidth="1"/>
    <col min="2058" max="2058" width="10.75" style="67" customWidth="1"/>
    <col min="2059" max="2059" width="3.25" style="67" customWidth="1"/>
    <col min="2060" max="2060" width="12.5" style="67" customWidth="1"/>
    <col min="2061" max="2061" width="13.58203125" style="67" customWidth="1"/>
    <col min="2062" max="2062" width="4.58203125" style="67" customWidth="1"/>
    <col min="2063" max="2063" width="5.25" style="67" customWidth="1"/>
    <col min="2064" max="2064" width="6" style="67" customWidth="1"/>
    <col min="2065" max="2065" width="7.08203125" style="67" customWidth="1"/>
    <col min="2066" max="2066" width="4.75" style="67" customWidth="1"/>
    <col min="2067" max="2067" width="6" style="67" customWidth="1"/>
    <col min="2068" max="2068" width="5.33203125" style="67" customWidth="1"/>
    <col min="2069" max="2069" width="3.5" style="67" customWidth="1"/>
    <col min="2070" max="2070" width="7.08203125" style="67" customWidth="1"/>
    <col min="2071" max="2071" width="3.83203125" style="67" customWidth="1"/>
    <col min="2072" max="2072" width="7.08203125" style="67" customWidth="1"/>
    <col min="2073" max="2073" width="5.08203125" style="67" customWidth="1"/>
    <col min="2074" max="2074" width="5.5" style="67" customWidth="1"/>
    <col min="2075" max="2075" width="5.58203125" style="67" customWidth="1"/>
    <col min="2076" max="2076" width="6.25" style="67" customWidth="1"/>
    <col min="2077" max="2077" width="3" style="67" customWidth="1"/>
    <col min="2078" max="2078" width="4.83203125" style="67" customWidth="1"/>
    <col min="2079" max="2079" width="4.58203125" style="67" customWidth="1"/>
    <col min="2080" max="2080" width="4" style="67" customWidth="1"/>
    <col min="2081" max="2081" width="5.75" style="67" customWidth="1"/>
    <col min="2082" max="2082" width="5.08203125" style="67" customWidth="1"/>
    <col min="2083" max="2083" width="3.25" style="67" customWidth="1"/>
    <col min="2084" max="2084" width="3.08203125" style="67" customWidth="1"/>
    <col min="2085" max="2305" width="4.58203125" style="67"/>
    <col min="2306" max="2306" width="3.75" style="67" customWidth="1"/>
    <col min="2307" max="2307" width="6.5" style="67" customWidth="1"/>
    <col min="2308" max="2308" width="2.33203125" style="67" customWidth="1"/>
    <col min="2309" max="2309" width="4.58203125" style="67" customWidth="1"/>
    <col min="2310" max="2310" width="5.5" style="67" customWidth="1"/>
    <col min="2311" max="2311" width="11.5" style="67" customWidth="1"/>
    <col min="2312" max="2312" width="13.5" style="67" customWidth="1"/>
    <col min="2313" max="2313" width="4.58203125" style="67" customWidth="1"/>
    <col min="2314" max="2314" width="10.75" style="67" customWidth="1"/>
    <col min="2315" max="2315" width="3.25" style="67" customWidth="1"/>
    <col min="2316" max="2316" width="12.5" style="67" customWidth="1"/>
    <col min="2317" max="2317" width="13.58203125" style="67" customWidth="1"/>
    <col min="2318" max="2318" width="4.58203125" style="67" customWidth="1"/>
    <col min="2319" max="2319" width="5.25" style="67" customWidth="1"/>
    <col min="2320" max="2320" width="6" style="67" customWidth="1"/>
    <col min="2321" max="2321" width="7.08203125" style="67" customWidth="1"/>
    <col min="2322" max="2322" width="4.75" style="67" customWidth="1"/>
    <col min="2323" max="2323" width="6" style="67" customWidth="1"/>
    <col min="2324" max="2324" width="5.33203125" style="67" customWidth="1"/>
    <col min="2325" max="2325" width="3.5" style="67" customWidth="1"/>
    <col min="2326" max="2326" width="7.08203125" style="67" customWidth="1"/>
    <col min="2327" max="2327" width="3.83203125" style="67" customWidth="1"/>
    <col min="2328" max="2328" width="7.08203125" style="67" customWidth="1"/>
    <col min="2329" max="2329" width="5.08203125" style="67" customWidth="1"/>
    <col min="2330" max="2330" width="5.5" style="67" customWidth="1"/>
    <col min="2331" max="2331" width="5.58203125" style="67" customWidth="1"/>
    <col min="2332" max="2332" width="6.25" style="67" customWidth="1"/>
    <col min="2333" max="2333" width="3" style="67" customWidth="1"/>
    <col min="2334" max="2334" width="4.83203125" style="67" customWidth="1"/>
    <col min="2335" max="2335" width="4.58203125" style="67" customWidth="1"/>
    <col min="2336" max="2336" width="4" style="67" customWidth="1"/>
    <col min="2337" max="2337" width="5.75" style="67" customWidth="1"/>
    <col min="2338" max="2338" width="5.08203125" style="67" customWidth="1"/>
    <col min="2339" max="2339" width="3.25" style="67" customWidth="1"/>
    <col min="2340" max="2340" width="3.08203125" style="67" customWidth="1"/>
    <col min="2341" max="2561" width="4.58203125" style="67"/>
    <col min="2562" max="2562" width="3.75" style="67" customWidth="1"/>
    <col min="2563" max="2563" width="6.5" style="67" customWidth="1"/>
    <col min="2564" max="2564" width="2.33203125" style="67" customWidth="1"/>
    <col min="2565" max="2565" width="4.58203125" style="67" customWidth="1"/>
    <col min="2566" max="2566" width="5.5" style="67" customWidth="1"/>
    <col min="2567" max="2567" width="11.5" style="67" customWidth="1"/>
    <col min="2568" max="2568" width="13.5" style="67" customWidth="1"/>
    <col min="2569" max="2569" width="4.58203125" style="67" customWidth="1"/>
    <col min="2570" max="2570" width="10.75" style="67" customWidth="1"/>
    <col min="2571" max="2571" width="3.25" style="67" customWidth="1"/>
    <col min="2572" max="2572" width="12.5" style="67" customWidth="1"/>
    <col min="2573" max="2573" width="13.58203125" style="67" customWidth="1"/>
    <col min="2574" max="2574" width="4.58203125" style="67" customWidth="1"/>
    <col min="2575" max="2575" width="5.25" style="67" customWidth="1"/>
    <col min="2576" max="2576" width="6" style="67" customWidth="1"/>
    <col min="2577" max="2577" width="7.08203125" style="67" customWidth="1"/>
    <col min="2578" max="2578" width="4.75" style="67" customWidth="1"/>
    <col min="2579" max="2579" width="6" style="67" customWidth="1"/>
    <col min="2580" max="2580" width="5.33203125" style="67" customWidth="1"/>
    <col min="2581" max="2581" width="3.5" style="67" customWidth="1"/>
    <col min="2582" max="2582" width="7.08203125" style="67" customWidth="1"/>
    <col min="2583" max="2583" width="3.83203125" style="67" customWidth="1"/>
    <col min="2584" max="2584" width="7.08203125" style="67" customWidth="1"/>
    <col min="2585" max="2585" width="5.08203125" style="67" customWidth="1"/>
    <col min="2586" max="2586" width="5.5" style="67" customWidth="1"/>
    <col min="2587" max="2587" width="5.58203125" style="67" customWidth="1"/>
    <col min="2588" max="2588" width="6.25" style="67" customWidth="1"/>
    <col min="2589" max="2589" width="3" style="67" customWidth="1"/>
    <col min="2590" max="2590" width="4.83203125" style="67" customWidth="1"/>
    <col min="2591" max="2591" width="4.58203125" style="67" customWidth="1"/>
    <col min="2592" max="2592" width="4" style="67" customWidth="1"/>
    <col min="2593" max="2593" width="5.75" style="67" customWidth="1"/>
    <col min="2594" max="2594" width="5.08203125" style="67" customWidth="1"/>
    <col min="2595" max="2595" width="3.25" style="67" customWidth="1"/>
    <col min="2596" max="2596" width="3.08203125" style="67" customWidth="1"/>
    <col min="2597" max="2817" width="4.58203125" style="67"/>
    <col min="2818" max="2818" width="3.75" style="67" customWidth="1"/>
    <col min="2819" max="2819" width="6.5" style="67" customWidth="1"/>
    <col min="2820" max="2820" width="2.33203125" style="67" customWidth="1"/>
    <col min="2821" max="2821" width="4.58203125" style="67" customWidth="1"/>
    <col min="2822" max="2822" width="5.5" style="67" customWidth="1"/>
    <col min="2823" max="2823" width="11.5" style="67" customWidth="1"/>
    <col min="2824" max="2824" width="13.5" style="67" customWidth="1"/>
    <col min="2825" max="2825" width="4.58203125" style="67" customWidth="1"/>
    <col min="2826" max="2826" width="10.75" style="67" customWidth="1"/>
    <col min="2827" max="2827" width="3.25" style="67" customWidth="1"/>
    <col min="2828" max="2828" width="12.5" style="67" customWidth="1"/>
    <col min="2829" max="2829" width="13.58203125" style="67" customWidth="1"/>
    <col min="2830" max="2830" width="4.58203125" style="67" customWidth="1"/>
    <col min="2831" max="2831" width="5.25" style="67" customWidth="1"/>
    <col min="2832" max="2832" width="6" style="67" customWidth="1"/>
    <col min="2833" max="2833" width="7.08203125" style="67" customWidth="1"/>
    <col min="2834" max="2834" width="4.75" style="67" customWidth="1"/>
    <col min="2835" max="2835" width="6" style="67" customWidth="1"/>
    <col min="2836" max="2836" width="5.33203125" style="67" customWidth="1"/>
    <col min="2837" max="2837" width="3.5" style="67" customWidth="1"/>
    <col min="2838" max="2838" width="7.08203125" style="67" customWidth="1"/>
    <col min="2839" max="2839" width="3.83203125" style="67" customWidth="1"/>
    <col min="2840" max="2840" width="7.08203125" style="67" customWidth="1"/>
    <col min="2841" max="2841" width="5.08203125" style="67" customWidth="1"/>
    <col min="2842" max="2842" width="5.5" style="67" customWidth="1"/>
    <col min="2843" max="2843" width="5.58203125" style="67" customWidth="1"/>
    <col min="2844" max="2844" width="6.25" style="67" customWidth="1"/>
    <col min="2845" max="2845" width="3" style="67" customWidth="1"/>
    <col min="2846" max="2846" width="4.83203125" style="67" customWidth="1"/>
    <col min="2847" max="2847" width="4.58203125" style="67" customWidth="1"/>
    <col min="2848" max="2848" width="4" style="67" customWidth="1"/>
    <col min="2849" max="2849" width="5.75" style="67" customWidth="1"/>
    <col min="2850" max="2850" width="5.08203125" style="67" customWidth="1"/>
    <col min="2851" max="2851" width="3.25" style="67" customWidth="1"/>
    <col min="2852" max="2852" width="3.08203125" style="67" customWidth="1"/>
    <col min="2853" max="3073" width="9" style="67"/>
    <col min="3074" max="3074" width="3.75" style="67" customWidth="1"/>
    <col min="3075" max="3075" width="6.5" style="67" customWidth="1"/>
    <col min="3076" max="3076" width="2.33203125" style="67" customWidth="1"/>
    <col min="3077" max="3077" width="4.58203125" style="67" customWidth="1"/>
    <col min="3078" max="3078" width="5.5" style="67" customWidth="1"/>
    <col min="3079" max="3079" width="11.5" style="67" customWidth="1"/>
    <col min="3080" max="3080" width="13.5" style="67" customWidth="1"/>
    <col min="3081" max="3081" width="4.58203125" style="67" customWidth="1"/>
    <col min="3082" max="3082" width="10.75" style="67" customWidth="1"/>
    <col min="3083" max="3083" width="3.25" style="67" customWidth="1"/>
    <col min="3084" max="3084" width="12.5" style="67" customWidth="1"/>
    <col min="3085" max="3085" width="13.58203125" style="67" customWidth="1"/>
    <col min="3086" max="3086" width="4.58203125" style="67" customWidth="1"/>
    <col min="3087" max="3087" width="5.25" style="67" customWidth="1"/>
    <col min="3088" max="3088" width="6" style="67" customWidth="1"/>
    <col min="3089" max="3089" width="7.08203125" style="67" customWidth="1"/>
    <col min="3090" max="3090" width="4.75" style="67" customWidth="1"/>
    <col min="3091" max="3091" width="6" style="67" customWidth="1"/>
    <col min="3092" max="3092" width="5.33203125" style="67" customWidth="1"/>
    <col min="3093" max="3093" width="3.5" style="67" customWidth="1"/>
    <col min="3094" max="3094" width="7.08203125" style="67" customWidth="1"/>
    <col min="3095" max="3095" width="3.83203125" style="67" customWidth="1"/>
    <col min="3096" max="3096" width="7.08203125" style="67" customWidth="1"/>
    <col min="3097" max="3097" width="5.08203125" style="67" customWidth="1"/>
    <col min="3098" max="3098" width="5.5" style="67" customWidth="1"/>
    <col min="3099" max="3099" width="5.58203125" style="67" customWidth="1"/>
    <col min="3100" max="3100" width="6.25" style="67" customWidth="1"/>
    <col min="3101" max="3101" width="3" style="67" customWidth="1"/>
    <col min="3102" max="3102" width="4.83203125" style="67" customWidth="1"/>
    <col min="3103" max="3103" width="4.58203125" style="67" customWidth="1"/>
    <col min="3104" max="3104" width="4" style="67" customWidth="1"/>
    <col min="3105" max="3105" width="5.75" style="67" customWidth="1"/>
    <col min="3106" max="3106" width="5.08203125" style="67" customWidth="1"/>
    <col min="3107" max="3107" width="3.25" style="67" customWidth="1"/>
    <col min="3108" max="3108" width="3.08203125" style="67" customWidth="1"/>
    <col min="3109" max="3329" width="4.58203125" style="67"/>
    <col min="3330" max="3330" width="3.75" style="67" customWidth="1"/>
    <col min="3331" max="3331" width="6.5" style="67" customWidth="1"/>
    <col min="3332" max="3332" width="2.33203125" style="67" customWidth="1"/>
    <col min="3333" max="3333" width="4.58203125" style="67" customWidth="1"/>
    <col min="3334" max="3334" width="5.5" style="67" customWidth="1"/>
    <col min="3335" max="3335" width="11.5" style="67" customWidth="1"/>
    <col min="3336" max="3336" width="13.5" style="67" customWidth="1"/>
    <col min="3337" max="3337" width="4.58203125" style="67" customWidth="1"/>
    <col min="3338" max="3338" width="10.75" style="67" customWidth="1"/>
    <col min="3339" max="3339" width="3.25" style="67" customWidth="1"/>
    <col min="3340" max="3340" width="12.5" style="67" customWidth="1"/>
    <col min="3341" max="3341" width="13.58203125" style="67" customWidth="1"/>
    <col min="3342" max="3342" width="4.58203125" style="67" customWidth="1"/>
    <col min="3343" max="3343" width="5.25" style="67" customWidth="1"/>
    <col min="3344" max="3344" width="6" style="67" customWidth="1"/>
    <col min="3345" max="3345" width="7.08203125" style="67" customWidth="1"/>
    <col min="3346" max="3346" width="4.75" style="67" customWidth="1"/>
    <col min="3347" max="3347" width="6" style="67" customWidth="1"/>
    <col min="3348" max="3348" width="5.33203125" style="67" customWidth="1"/>
    <col min="3349" max="3349" width="3.5" style="67" customWidth="1"/>
    <col min="3350" max="3350" width="7.08203125" style="67" customWidth="1"/>
    <col min="3351" max="3351" width="3.83203125" style="67" customWidth="1"/>
    <col min="3352" max="3352" width="7.08203125" style="67" customWidth="1"/>
    <col min="3353" max="3353" width="5.08203125" style="67" customWidth="1"/>
    <col min="3354" max="3354" width="5.5" style="67" customWidth="1"/>
    <col min="3355" max="3355" width="5.58203125" style="67" customWidth="1"/>
    <col min="3356" max="3356" width="6.25" style="67" customWidth="1"/>
    <col min="3357" max="3357" width="3" style="67" customWidth="1"/>
    <col min="3358" max="3358" width="4.83203125" style="67" customWidth="1"/>
    <col min="3359" max="3359" width="4.58203125" style="67" customWidth="1"/>
    <col min="3360" max="3360" width="4" style="67" customWidth="1"/>
    <col min="3361" max="3361" width="5.75" style="67" customWidth="1"/>
    <col min="3362" max="3362" width="5.08203125" style="67" customWidth="1"/>
    <col min="3363" max="3363" width="3.25" style="67" customWidth="1"/>
    <col min="3364" max="3364" width="3.08203125" style="67" customWidth="1"/>
    <col min="3365" max="3585" width="4.58203125" style="67"/>
    <col min="3586" max="3586" width="3.75" style="67" customWidth="1"/>
    <col min="3587" max="3587" width="6.5" style="67" customWidth="1"/>
    <col min="3588" max="3588" width="2.33203125" style="67" customWidth="1"/>
    <col min="3589" max="3589" width="4.58203125" style="67" customWidth="1"/>
    <col min="3590" max="3590" width="5.5" style="67" customWidth="1"/>
    <col min="3591" max="3591" width="11.5" style="67" customWidth="1"/>
    <col min="3592" max="3592" width="13.5" style="67" customWidth="1"/>
    <col min="3593" max="3593" width="4.58203125" style="67" customWidth="1"/>
    <col min="3594" max="3594" width="10.75" style="67" customWidth="1"/>
    <col min="3595" max="3595" width="3.25" style="67" customWidth="1"/>
    <col min="3596" max="3596" width="12.5" style="67" customWidth="1"/>
    <col min="3597" max="3597" width="13.58203125" style="67" customWidth="1"/>
    <col min="3598" max="3598" width="4.58203125" style="67" customWidth="1"/>
    <col min="3599" max="3599" width="5.25" style="67" customWidth="1"/>
    <col min="3600" max="3600" width="6" style="67" customWidth="1"/>
    <col min="3601" max="3601" width="7.08203125" style="67" customWidth="1"/>
    <col min="3602" max="3602" width="4.75" style="67" customWidth="1"/>
    <col min="3603" max="3603" width="6" style="67" customWidth="1"/>
    <col min="3604" max="3604" width="5.33203125" style="67" customWidth="1"/>
    <col min="3605" max="3605" width="3.5" style="67" customWidth="1"/>
    <col min="3606" max="3606" width="7.08203125" style="67" customWidth="1"/>
    <col min="3607" max="3607" width="3.83203125" style="67" customWidth="1"/>
    <col min="3608" max="3608" width="7.08203125" style="67" customWidth="1"/>
    <col min="3609" max="3609" width="5.08203125" style="67" customWidth="1"/>
    <col min="3610" max="3610" width="5.5" style="67" customWidth="1"/>
    <col min="3611" max="3611" width="5.58203125" style="67" customWidth="1"/>
    <col min="3612" max="3612" width="6.25" style="67" customWidth="1"/>
    <col min="3613" max="3613" width="3" style="67" customWidth="1"/>
    <col min="3614" max="3614" width="4.83203125" style="67" customWidth="1"/>
    <col min="3615" max="3615" width="4.58203125" style="67" customWidth="1"/>
    <col min="3616" max="3616" width="4" style="67" customWidth="1"/>
    <col min="3617" max="3617" width="5.75" style="67" customWidth="1"/>
    <col min="3618" max="3618" width="5.08203125" style="67" customWidth="1"/>
    <col min="3619" max="3619" width="3.25" style="67" customWidth="1"/>
    <col min="3620" max="3620" width="3.08203125" style="67" customWidth="1"/>
    <col min="3621" max="3841" width="4.58203125" style="67"/>
    <col min="3842" max="3842" width="3.75" style="67" customWidth="1"/>
    <col min="3843" max="3843" width="6.5" style="67" customWidth="1"/>
    <col min="3844" max="3844" width="2.33203125" style="67" customWidth="1"/>
    <col min="3845" max="3845" width="4.58203125" style="67" customWidth="1"/>
    <col min="3846" max="3846" width="5.5" style="67" customWidth="1"/>
    <col min="3847" max="3847" width="11.5" style="67" customWidth="1"/>
    <col min="3848" max="3848" width="13.5" style="67" customWidth="1"/>
    <col min="3849" max="3849" width="4.58203125" style="67" customWidth="1"/>
    <col min="3850" max="3850" width="10.75" style="67" customWidth="1"/>
    <col min="3851" max="3851" width="3.25" style="67" customWidth="1"/>
    <col min="3852" max="3852" width="12.5" style="67" customWidth="1"/>
    <col min="3853" max="3853" width="13.58203125" style="67" customWidth="1"/>
    <col min="3854" max="3854" width="4.58203125" style="67" customWidth="1"/>
    <col min="3855" max="3855" width="5.25" style="67" customWidth="1"/>
    <col min="3856" max="3856" width="6" style="67" customWidth="1"/>
    <col min="3857" max="3857" width="7.08203125" style="67" customWidth="1"/>
    <col min="3858" max="3858" width="4.75" style="67" customWidth="1"/>
    <col min="3859" max="3859" width="6" style="67" customWidth="1"/>
    <col min="3860" max="3860" width="5.33203125" style="67" customWidth="1"/>
    <col min="3861" max="3861" width="3.5" style="67" customWidth="1"/>
    <col min="3862" max="3862" width="7.08203125" style="67" customWidth="1"/>
    <col min="3863" max="3863" width="3.83203125" style="67" customWidth="1"/>
    <col min="3864" max="3864" width="7.08203125" style="67" customWidth="1"/>
    <col min="3865" max="3865" width="5.08203125" style="67" customWidth="1"/>
    <col min="3866" max="3866" width="5.5" style="67" customWidth="1"/>
    <col min="3867" max="3867" width="5.58203125" style="67" customWidth="1"/>
    <col min="3868" max="3868" width="6.25" style="67" customWidth="1"/>
    <col min="3869" max="3869" width="3" style="67" customWidth="1"/>
    <col min="3870" max="3870" width="4.83203125" style="67" customWidth="1"/>
    <col min="3871" max="3871" width="4.58203125" style="67" customWidth="1"/>
    <col min="3872" max="3872" width="4" style="67" customWidth="1"/>
    <col min="3873" max="3873" width="5.75" style="67" customWidth="1"/>
    <col min="3874" max="3874" width="5.08203125" style="67" customWidth="1"/>
    <col min="3875" max="3875" width="3.25" style="67" customWidth="1"/>
    <col min="3876" max="3876" width="3.08203125" style="67" customWidth="1"/>
    <col min="3877" max="4097" width="9" style="67"/>
    <col min="4098" max="4098" width="3.75" style="67" customWidth="1"/>
    <col min="4099" max="4099" width="6.5" style="67" customWidth="1"/>
    <col min="4100" max="4100" width="2.33203125" style="67" customWidth="1"/>
    <col min="4101" max="4101" width="4.58203125" style="67" customWidth="1"/>
    <col min="4102" max="4102" width="5.5" style="67" customWidth="1"/>
    <col min="4103" max="4103" width="11.5" style="67" customWidth="1"/>
    <col min="4104" max="4104" width="13.5" style="67" customWidth="1"/>
    <col min="4105" max="4105" width="4.58203125" style="67" customWidth="1"/>
    <col min="4106" max="4106" width="10.75" style="67" customWidth="1"/>
    <col min="4107" max="4107" width="3.25" style="67" customWidth="1"/>
    <col min="4108" max="4108" width="12.5" style="67" customWidth="1"/>
    <col min="4109" max="4109" width="13.58203125" style="67" customWidth="1"/>
    <col min="4110" max="4110" width="4.58203125" style="67" customWidth="1"/>
    <col min="4111" max="4111" width="5.25" style="67" customWidth="1"/>
    <col min="4112" max="4112" width="6" style="67" customWidth="1"/>
    <col min="4113" max="4113" width="7.08203125" style="67" customWidth="1"/>
    <col min="4114" max="4114" width="4.75" style="67" customWidth="1"/>
    <col min="4115" max="4115" width="6" style="67" customWidth="1"/>
    <col min="4116" max="4116" width="5.33203125" style="67" customWidth="1"/>
    <col min="4117" max="4117" width="3.5" style="67" customWidth="1"/>
    <col min="4118" max="4118" width="7.08203125" style="67" customWidth="1"/>
    <col min="4119" max="4119" width="3.83203125" style="67" customWidth="1"/>
    <col min="4120" max="4120" width="7.08203125" style="67" customWidth="1"/>
    <col min="4121" max="4121" width="5.08203125" style="67" customWidth="1"/>
    <col min="4122" max="4122" width="5.5" style="67" customWidth="1"/>
    <col min="4123" max="4123" width="5.58203125" style="67" customWidth="1"/>
    <col min="4124" max="4124" width="6.25" style="67" customWidth="1"/>
    <col min="4125" max="4125" width="3" style="67" customWidth="1"/>
    <col min="4126" max="4126" width="4.83203125" style="67" customWidth="1"/>
    <col min="4127" max="4127" width="4.58203125" style="67" customWidth="1"/>
    <col min="4128" max="4128" width="4" style="67" customWidth="1"/>
    <col min="4129" max="4129" width="5.75" style="67" customWidth="1"/>
    <col min="4130" max="4130" width="5.08203125" style="67" customWidth="1"/>
    <col min="4131" max="4131" width="3.25" style="67" customWidth="1"/>
    <col min="4132" max="4132" width="3.08203125" style="67" customWidth="1"/>
    <col min="4133" max="4353" width="4.58203125" style="67"/>
    <col min="4354" max="4354" width="3.75" style="67" customWidth="1"/>
    <col min="4355" max="4355" width="6.5" style="67" customWidth="1"/>
    <col min="4356" max="4356" width="2.33203125" style="67" customWidth="1"/>
    <col min="4357" max="4357" width="4.58203125" style="67" customWidth="1"/>
    <col min="4358" max="4358" width="5.5" style="67" customWidth="1"/>
    <col min="4359" max="4359" width="11.5" style="67" customWidth="1"/>
    <col min="4360" max="4360" width="13.5" style="67" customWidth="1"/>
    <col min="4361" max="4361" width="4.58203125" style="67" customWidth="1"/>
    <col min="4362" max="4362" width="10.75" style="67" customWidth="1"/>
    <col min="4363" max="4363" width="3.25" style="67" customWidth="1"/>
    <col min="4364" max="4364" width="12.5" style="67" customWidth="1"/>
    <col min="4365" max="4365" width="13.58203125" style="67" customWidth="1"/>
    <col min="4366" max="4366" width="4.58203125" style="67" customWidth="1"/>
    <col min="4367" max="4367" width="5.25" style="67" customWidth="1"/>
    <col min="4368" max="4368" width="6" style="67" customWidth="1"/>
    <col min="4369" max="4369" width="7.08203125" style="67" customWidth="1"/>
    <col min="4370" max="4370" width="4.75" style="67" customWidth="1"/>
    <col min="4371" max="4371" width="6" style="67" customWidth="1"/>
    <col min="4372" max="4372" width="5.33203125" style="67" customWidth="1"/>
    <col min="4373" max="4373" width="3.5" style="67" customWidth="1"/>
    <col min="4374" max="4374" width="7.08203125" style="67" customWidth="1"/>
    <col min="4375" max="4375" width="3.83203125" style="67" customWidth="1"/>
    <col min="4376" max="4376" width="7.08203125" style="67" customWidth="1"/>
    <col min="4377" max="4377" width="5.08203125" style="67" customWidth="1"/>
    <col min="4378" max="4378" width="5.5" style="67" customWidth="1"/>
    <col min="4379" max="4379" width="5.58203125" style="67" customWidth="1"/>
    <col min="4380" max="4380" width="6.25" style="67" customWidth="1"/>
    <col min="4381" max="4381" width="3" style="67" customWidth="1"/>
    <col min="4382" max="4382" width="4.83203125" style="67" customWidth="1"/>
    <col min="4383" max="4383" width="4.58203125" style="67" customWidth="1"/>
    <col min="4384" max="4384" width="4" style="67" customWidth="1"/>
    <col min="4385" max="4385" width="5.75" style="67" customWidth="1"/>
    <col min="4386" max="4386" width="5.08203125" style="67" customWidth="1"/>
    <col min="4387" max="4387" width="3.25" style="67" customWidth="1"/>
    <col min="4388" max="4388" width="3.08203125" style="67" customWidth="1"/>
    <col min="4389" max="4609" width="4.58203125" style="67"/>
    <col min="4610" max="4610" width="3.75" style="67" customWidth="1"/>
    <col min="4611" max="4611" width="6.5" style="67" customWidth="1"/>
    <col min="4612" max="4612" width="2.33203125" style="67" customWidth="1"/>
    <col min="4613" max="4613" width="4.58203125" style="67" customWidth="1"/>
    <col min="4614" max="4614" width="5.5" style="67" customWidth="1"/>
    <col min="4615" max="4615" width="11.5" style="67" customWidth="1"/>
    <col min="4616" max="4616" width="13.5" style="67" customWidth="1"/>
    <col min="4617" max="4617" width="4.58203125" style="67" customWidth="1"/>
    <col min="4618" max="4618" width="10.75" style="67" customWidth="1"/>
    <col min="4619" max="4619" width="3.25" style="67" customWidth="1"/>
    <col min="4620" max="4620" width="12.5" style="67" customWidth="1"/>
    <col min="4621" max="4621" width="13.58203125" style="67" customWidth="1"/>
    <col min="4622" max="4622" width="4.58203125" style="67" customWidth="1"/>
    <col min="4623" max="4623" width="5.25" style="67" customWidth="1"/>
    <col min="4624" max="4624" width="6" style="67" customWidth="1"/>
    <col min="4625" max="4625" width="7.08203125" style="67" customWidth="1"/>
    <col min="4626" max="4626" width="4.75" style="67" customWidth="1"/>
    <col min="4627" max="4627" width="6" style="67" customWidth="1"/>
    <col min="4628" max="4628" width="5.33203125" style="67" customWidth="1"/>
    <col min="4629" max="4629" width="3.5" style="67" customWidth="1"/>
    <col min="4630" max="4630" width="7.08203125" style="67" customWidth="1"/>
    <col min="4631" max="4631" width="3.83203125" style="67" customWidth="1"/>
    <col min="4632" max="4632" width="7.08203125" style="67" customWidth="1"/>
    <col min="4633" max="4633" width="5.08203125" style="67" customWidth="1"/>
    <col min="4634" max="4634" width="5.5" style="67" customWidth="1"/>
    <col min="4635" max="4635" width="5.58203125" style="67" customWidth="1"/>
    <col min="4636" max="4636" width="6.25" style="67" customWidth="1"/>
    <col min="4637" max="4637" width="3" style="67" customWidth="1"/>
    <col min="4638" max="4638" width="4.83203125" style="67" customWidth="1"/>
    <col min="4639" max="4639" width="4.58203125" style="67" customWidth="1"/>
    <col min="4640" max="4640" width="4" style="67" customWidth="1"/>
    <col min="4641" max="4641" width="5.75" style="67" customWidth="1"/>
    <col min="4642" max="4642" width="5.08203125" style="67" customWidth="1"/>
    <col min="4643" max="4643" width="3.25" style="67" customWidth="1"/>
    <col min="4644" max="4644" width="3.08203125" style="67" customWidth="1"/>
    <col min="4645" max="4865" width="4.58203125" style="67"/>
    <col min="4866" max="4866" width="3.75" style="67" customWidth="1"/>
    <col min="4867" max="4867" width="6.5" style="67" customWidth="1"/>
    <col min="4868" max="4868" width="2.33203125" style="67" customWidth="1"/>
    <col min="4869" max="4869" width="4.58203125" style="67" customWidth="1"/>
    <col min="4870" max="4870" width="5.5" style="67" customWidth="1"/>
    <col min="4871" max="4871" width="11.5" style="67" customWidth="1"/>
    <col min="4872" max="4872" width="13.5" style="67" customWidth="1"/>
    <col min="4873" max="4873" width="4.58203125" style="67" customWidth="1"/>
    <col min="4874" max="4874" width="10.75" style="67" customWidth="1"/>
    <col min="4875" max="4875" width="3.25" style="67" customWidth="1"/>
    <col min="4876" max="4876" width="12.5" style="67" customWidth="1"/>
    <col min="4877" max="4877" width="13.58203125" style="67" customWidth="1"/>
    <col min="4878" max="4878" width="4.58203125" style="67" customWidth="1"/>
    <col min="4879" max="4879" width="5.25" style="67" customWidth="1"/>
    <col min="4880" max="4880" width="6" style="67" customWidth="1"/>
    <col min="4881" max="4881" width="7.08203125" style="67" customWidth="1"/>
    <col min="4882" max="4882" width="4.75" style="67" customWidth="1"/>
    <col min="4883" max="4883" width="6" style="67" customWidth="1"/>
    <col min="4884" max="4884" width="5.33203125" style="67" customWidth="1"/>
    <col min="4885" max="4885" width="3.5" style="67" customWidth="1"/>
    <col min="4886" max="4886" width="7.08203125" style="67" customWidth="1"/>
    <col min="4887" max="4887" width="3.83203125" style="67" customWidth="1"/>
    <col min="4888" max="4888" width="7.08203125" style="67" customWidth="1"/>
    <col min="4889" max="4889" width="5.08203125" style="67" customWidth="1"/>
    <col min="4890" max="4890" width="5.5" style="67" customWidth="1"/>
    <col min="4891" max="4891" width="5.58203125" style="67" customWidth="1"/>
    <col min="4892" max="4892" width="6.25" style="67" customWidth="1"/>
    <col min="4893" max="4893" width="3" style="67" customWidth="1"/>
    <col min="4894" max="4894" width="4.83203125" style="67" customWidth="1"/>
    <col min="4895" max="4895" width="4.58203125" style="67" customWidth="1"/>
    <col min="4896" max="4896" width="4" style="67" customWidth="1"/>
    <col min="4897" max="4897" width="5.75" style="67" customWidth="1"/>
    <col min="4898" max="4898" width="5.08203125" style="67" customWidth="1"/>
    <col min="4899" max="4899" width="3.25" style="67" customWidth="1"/>
    <col min="4900" max="4900" width="3.08203125" style="67" customWidth="1"/>
    <col min="4901" max="5121" width="9" style="67"/>
    <col min="5122" max="5122" width="3.75" style="67" customWidth="1"/>
    <col min="5123" max="5123" width="6.5" style="67" customWidth="1"/>
    <col min="5124" max="5124" width="2.33203125" style="67" customWidth="1"/>
    <col min="5125" max="5125" width="4.58203125" style="67" customWidth="1"/>
    <col min="5126" max="5126" width="5.5" style="67" customWidth="1"/>
    <col min="5127" max="5127" width="11.5" style="67" customWidth="1"/>
    <col min="5128" max="5128" width="13.5" style="67" customWidth="1"/>
    <col min="5129" max="5129" width="4.58203125" style="67" customWidth="1"/>
    <col min="5130" max="5130" width="10.75" style="67" customWidth="1"/>
    <col min="5131" max="5131" width="3.25" style="67" customWidth="1"/>
    <col min="5132" max="5132" width="12.5" style="67" customWidth="1"/>
    <col min="5133" max="5133" width="13.58203125" style="67" customWidth="1"/>
    <col min="5134" max="5134" width="4.58203125" style="67" customWidth="1"/>
    <col min="5135" max="5135" width="5.25" style="67" customWidth="1"/>
    <col min="5136" max="5136" width="6" style="67" customWidth="1"/>
    <col min="5137" max="5137" width="7.08203125" style="67" customWidth="1"/>
    <col min="5138" max="5138" width="4.75" style="67" customWidth="1"/>
    <col min="5139" max="5139" width="6" style="67" customWidth="1"/>
    <col min="5140" max="5140" width="5.33203125" style="67" customWidth="1"/>
    <col min="5141" max="5141" width="3.5" style="67" customWidth="1"/>
    <col min="5142" max="5142" width="7.08203125" style="67" customWidth="1"/>
    <col min="5143" max="5143" width="3.83203125" style="67" customWidth="1"/>
    <col min="5144" max="5144" width="7.08203125" style="67" customWidth="1"/>
    <col min="5145" max="5145" width="5.08203125" style="67" customWidth="1"/>
    <col min="5146" max="5146" width="5.5" style="67" customWidth="1"/>
    <col min="5147" max="5147" width="5.58203125" style="67" customWidth="1"/>
    <col min="5148" max="5148" width="6.25" style="67" customWidth="1"/>
    <col min="5149" max="5149" width="3" style="67" customWidth="1"/>
    <col min="5150" max="5150" width="4.83203125" style="67" customWidth="1"/>
    <col min="5151" max="5151" width="4.58203125" style="67" customWidth="1"/>
    <col min="5152" max="5152" width="4" style="67" customWidth="1"/>
    <col min="5153" max="5153" width="5.75" style="67" customWidth="1"/>
    <col min="5154" max="5154" width="5.08203125" style="67" customWidth="1"/>
    <col min="5155" max="5155" width="3.25" style="67" customWidth="1"/>
    <col min="5156" max="5156" width="3.08203125" style="67" customWidth="1"/>
    <col min="5157" max="5377" width="4.58203125" style="67"/>
    <col min="5378" max="5378" width="3.75" style="67" customWidth="1"/>
    <col min="5379" max="5379" width="6.5" style="67" customWidth="1"/>
    <col min="5380" max="5380" width="2.33203125" style="67" customWidth="1"/>
    <col min="5381" max="5381" width="4.58203125" style="67" customWidth="1"/>
    <col min="5382" max="5382" width="5.5" style="67" customWidth="1"/>
    <col min="5383" max="5383" width="11.5" style="67" customWidth="1"/>
    <col min="5384" max="5384" width="13.5" style="67" customWidth="1"/>
    <col min="5385" max="5385" width="4.58203125" style="67" customWidth="1"/>
    <col min="5386" max="5386" width="10.75" style="67" customWidth="1"/>
    <col min="5387" max="5387" width="3.25" style="67" customWidth="1"/>
    <col min="5388" max="5388" width="12.5" style="67" customWidth="1"/>
    <col min="5389" max="5389" width="13.58203125" style="67" customWidth="1"/>
    <col min="5390" max="5390" width="4.58203125" style="67" customWidth="1"/>
    <col min="5391" max="5391" width="5.25" style="67" customWidth="1"/>
    <col min="5392" max="5392" width="6" style="67" customWidth="1"/>
    <col min="5393" max="5393" width="7.08203125" style="67" customWidth="1"/>
    <col min="5394" max="5394" width="4.75" style="67" customWidth="1"/>
    <col min="5395" max="5395" width="6" style="67" customWidth="1"/>
    <col min="5396" max="5396" width="5.33203125" style="67" customWidth="1"/>
    <col min="5397" max="5397" width="3.5" style="67" customWidth="1"/>
    <col min="5398" max="5398" width="7.08203125" style="67" customWidth="1"/>
    <col min="5399" max="5399" width="3.83203125" style="67" customWidth="1"/>
    <col min="5400" max="5400" width="7.08203125" style="67" customWidth="1"/>
    <col min="5401" max="5401" width="5.08203125" style="67" customWidth="1"/>
    <col min="5402" max="5402" width="5.5" style="67" customWidth="1"/>
    <col min="5403" max="5403" width="5.58203125" style="67" customWidth="1"/>
    <col min="5404" max="5404" width="6.25" style="67" customWidth="1"/>
    <col min="5405" max="5405" width="3" style="67" customWidth="1"/>
    <col min="5406" max="5406" width="4.83203125" style="67" customWidth="1"/>
    <col min="5407" max="5407" width="4.58203125" style="67" customWidth="1"/>
    <col min="5408" max="5408" width="4" style="67" customWidth="1"/>
    <col min="5409" max="5409" width="5.75" style="67" customWidth="1"/>
    <col min="5410" max="5410" width="5.08203125" style="67" customWidth="1"/>
    <col min="5411" max="5411" width="3.25" style="67" customWidth="1"/>
    <col min="5412" max="5412" width="3.08203125" style="67" customWidth="1"/>
    <col min="5413" max="5633" width="4.58203125" style="67"/>
    <col min="5634" max="5634" width="3.75" style="67" customWidth="1"/>
    <col min="5635" max="5635" width="6.5" style="67" customWidth="1"/>
    <col min="5636" max="5636" width="2.33203125" style="67" customWidth="1"/>
    <col min="5637" max="5637" width="4.58203125" style="67" customWidth="1"/>
    <col min="5638" max="5638" width="5.5" style="67" customWidth="1"/>
    <col min="5639" max="5639" width="11.5" style="67" customWidth="1"/>
    <col min="5640" max="5640" width="13.5" style="67" customWidth="1"/>
    <col min="5641" max="5641" width="4.58203125" style="67" customWidth="1"/>
    <col min="5642" max="5642" width="10.75" style="67" customWidth="1"/>
    <col min="5643" max="5643" width="3.25" style="67" customWidth="1"/>
    <col min="5644" max="5644" width="12.5" style="67" customWidth="1"/>
    <col min="5645" max="5645" width="13.58203125" style="67" customWidth="1"/>
    <col min="5646" max="5646" width="4.58203125" style="67" customWidth="1"/>
    <col min="5647" max="5647" width="5.25" style="67" customWidth="1"/>
    <col min="5648" max="5648" width="6" style="67" customWidth="1"/>
    <col min="5649" max="5649" width="7.08203125" style="67" customWidth="1"/>
    <col min="5650" max="5650" width="4.75" style="67" customWidth="1"/>
    <col min="5651" max="5651" width="6" style="67" customWidth="1"/>
    <col min="5652" max="5652" width="5.33203125" style="67" customWidth="1"/>
    <col min="5653" max="5653" width="3.5" style="67" customWidth="1"/>
    <col min="5654" max="5654" width="7.08203125" style="67" customWidth="1"/>
    <col min="5655" max="5655" width="3.83203125" style="67" customWidth="1"/>
    <col min="5656" max="5656" width="7.08203125" style="67" customWidth="1"/>
    <col min="5657" max="5657" width="5.08203125" style="67" customWidth="1"/>
    <col min="5658" max="5658" width="5.5" style="67" customWidth="1"/>
    <col min="5659" max="5659" width="5.58203125" style="67" customWidth="1"/>
    <col min="5660" max="5660" width="6.25" style="67" customWidth="1"/>
    <col min="5661" max="5661" width="3" style="67" customWidth="1"/>
    <col min="5662" max="5662" width="4.83203125" style="67" customWidth="1"/>
    <col min="5663" max="5663" width="4.58203125" style="67" customWidth="1"/>
    <col min="5664" max="5664" width="4" style="67" customWidth="1"/>
    <col min="5665" max="5665" width="5.75" style="67" customWidth="1"/>
    <col min="5666" max="5666" width="5.08203125" style="67" customWidth="1"/>
    <col min="5667" max="5667" width="3.25" style="67" customWidth="1"/>
    <col min="5668" max="5668" width="3.08203125" style="67" customWidth="1"/>
    <col min="5669" max="5889" width="4.58203125" style="67"/>
    <col min="5890" max="5890" width="3.75" style="67" customWidth="1"/>
    <col min="5891" max="5891" width="6.5" style="67" customWidth="1"/>
    <col min="5892" max="5892" width="2.33203125" style="67" customWidth="1"/>
    <col min="5893" max="5893" width="4.58203125" style="67" customWidth="1"/>
    <col min="5894" max="5894" width="5.5" style="67" customWidth="1"/>
    <col min="5895" max="5895" width="11.5" style="67" customWidth="1"/>
    <col min="5896" max="5896" width="13.5" style="67" customWidth="1"/>
    <col min="5897" max="5897" width="4.58203125" style="67" customWidth="1"/>
    <col min="5898" max="5898" width="10.75" style="67" customWidth="1"/>
    <col min="5899" max="5899" width="3.25" style="67" customWidth="1"/>
    <col min="5900" max="5900" width="12.5" style="67" customWidth="1"/>
    <col min="5901" max="5901" width="13.58203125" style="67" customWidth="1"/>
    <col min="5902" max="5902" width="4.58203125" style="67" customWidth="1"/>
    <col min="5903" max="5903" width="5.25" style="67" customWidth="1"/>
    <col min="5904" max="5904" width="6" style="67" customWidth="1"/>
    <col min="5905" max="5905" width="7.08203125" style="67" customWidth="1"/>
    <col min="5906" max="5906" width="4.75" style="67" customWidth="1"/>
    <col min="5907" max="5907" width="6" style="67" customWidth="1"/>
    <col min="5908" max="5908" width="5.33203125" style="67" customWidth="1"/>
    <col min="5909" max="5909" width="3.5" style="67" customWidth="1"/>
    <col min="5910" max="5910" width="7.08203125" style="67" customWidth="1"/>
    <col min="5911" max="5911" width="3.83203125" style="67" customWidth="1"/>
    <col min="5912" max="5912" width="7.08203125" style="67" customWidth="1"/>
    <col min="5913" max="5913" width="5.08203125" style="67" customWidth="1"/>
    <col min="5914" max="5914" width="5.5" style="67" customWidth="1"/>
    <col min="5915" max="5915" width="5.58203125" style="67" customWidth="1"/>
    <col min="5916" max="5916" width="6.25" style="67" customWidth="1"/>
    <col min="5917" max="5917" width="3" style="67" customWidth="1"/>
    <col min="5918" max="5918" width="4.83203125" style="67" customWidth="1"/>
    <col min="5919" max="5919" width="4.58203125" style="67" customWidth="1"/>
    <col min="5920" max="5920" width="4" style="67" customWidth="1"/>
    <col min="5921" max="5921" width="5.75" style="67" customWidth="1"/>
    <col min="5922" max="5922" width="5.08203125" style="67" customWidth="1"/>
    <col min="5923" max="5923" width="3.25" style="67" customWidth="1"/>
    <col min="5924" max="5924" width="3.08203125" style="67" customWidth="1"/>
    <col min="5925" max="6145" width="9" style="67"/>
    <col min="6146" max="6146" width="3.75" style="67" customWidth="1"/>
    <col min="6147" max="6147" width="6.5" style="67" customWidth="1"/>
    <col min="6148" max="6148" width="2.33203125" style="67" customWidth="1"/>
    <col min="6149" max="6149" width="4.58203125" style="67" customWidth="1"/>
    <col min="6150" max="6150" width="5.5" style="67" customWidth="1"/>
    <col min="6151" max="6151" width="11.5" style="67" customWidth="1"/>
    <col min="6152" max="6152" width="13.5" style="67" customWidth="1"/>
    <col min="6153" max="6153" width="4.58203125" style="67" customWidth="1"/>
    <col min="6154" max="6154" width="10.75" style="67" customWidth="1"/>
    <col min="6155" max="6155" width="3.25" style="67" customWidth="1"/>
    <col min="6156" max="6156" width="12.5" style="67" customWidth="1"/>
    <col min="6157" max="6157" width="13.58203125" style="67" customWidth="1"/>
    <col min="6158" max="6158" width="4.58203125" style="67" customWidth="1"/>
    <col min="6159" max="6159" width="5.25" style="67" customWidth="1"/>
    <col min="6160" max="6160" width="6" style="67" customWidth="1"/>
    <col min="6161" max="6161" width="7.08203125" style="67" customWidth="1"/>
    <col min="6162" max="6162" width="4.75" style="67" customWidth="1"/>
    <col min="6163" max="6163" width="6" style="67" customWidth="1"/>
    <col min="6164" max="6164" width="5.33203125" style="67" customWidth="1"/>
    <col min="6165" max="6165" width="3.5" style="67" customWidth="1"/>
    <col min="6166" max="6166" width="7.08203125" style="67" customWidth="1"/>
    <col min="6167" max="6167" width="3.83203125" style="67" customWidth="1"/>
    <col min="6168" max="6168" width="7.08203125" style="67" customWidth="1"/>
    <col min="6169" max="6169" width="5.08203125" style="67" customWidth="1"/>
    <col min="6170" max="6170" width="5.5" style="67" customWidth="1"/>
    <col min="6171" max="6171" width="5.58203125" style="67" customWidth="1"/>
    <col min="6172" max="6172" width="6.25" style="67" customWidth="1"/>
    <col min="6173" max="6173" width="3" style="67" customWidth="1"/>
    <col min="6174" max="6174" width="4.83203125" style="67" customWidth="1"/>
    <col min="6175" max="6175" width="4.58203125" style="67" customWidth="1"/>
    <col min="6176" max="6176" width="4" style="67" customWidth="1"/>
    <col min="6177" max="6177" width="5.75" style="67" customWidth="1"/>
    <col min="6178" max="6178" width="5.08203125" style="67" customWidth="1"/>
    <col min="6179" max="6179" width="3.25" style="67" customWidth="1"/>
    <col min="6180" max="6180" width="3.08203125" style="67" customWidth="1"/>
    <col min="6181" max="6401" width="4.58203125" style="67"/>
    <col min="6402" max="6402" width="3.75" style="67" customWidth="1"/>
    <col min="6403" max="6403" width="6.5" style="67" customWidth="1"/>
    <col min="6404" max="6404" width="2.33203125" style="67" customWidth="1"/>
    <col min="6405" max="6405" width="4.58203125" style="67" customWidth="1"/>
    <col min="6406" max="6406" width="5.5" style="67" customWidth="1"/>
    <col min="6407" max="6407" width="11.5" style="67" customWidth="1"/>
    <col min="6408" max="6408" width="13.5" style="67" customWidth="1"/>
    <col min="6409" max="6409" width="4.58203125" style="67" customWidth="1"/>
    <col min="6410" max="6410" width="10.75" style="67" customWidth="1"/>
    <col min="6411" max="6411" width="3.25" style="67" customWidth="1"/>
    <col min="6412" max="6412" width="12.5" style="67" customWidth="1"/>
    <col min="6413" max="6413" width="13.58203125" style="67" customWidth="1"/>
    <col min="6414" max="6414" width="4.58203125" style="67" customWidth="1"/>
    <col min="6415" max="6415" width="5.25" style="67" customWidth="1"/>
    <col min="6416" max="6416" width="6" style="67" customWidth="1"/>
    <col min="6417" max="6417" width="7.08203125" style="67" customWidth="1"/>
    <col min="6418" max="6418" width="4.75" style="67" customWidth="1"/>
    <col min="6419" max="6419" width="6" style="67" customWidth="1"/>
    <col min="6420" max="6420" width="5.33203125" style="67" customWidth="1"/>
    <col min="6421" max="6421" width="3.5" style="67" customWidth="1"/>
    <col min="6422" max="6422" width="7.08203125" style="67" customWidth="1"/>
    <col min="6423" max="6423" width="3.83203125" style="67" customWidth="1"/>
    <col min="6424" max="6424" width="7.08203125" style="67" customWidth="1"/>
    <col min="6425" max="6425" width="5.08203125" style="67" customWidth="1"/>
    <col min="6426" max="6426" width="5.5" style="67" customWidth="1"/>
    <col min="6427" max="6427" width="5.58203125" style="67" customWidth="1"/>
    <col min="6428" max="6428" width="6.25" style="67" customWidth="1"/>
    <col min="6429" max="6429" width="3" style="67" customWidth="1"/>
    <col min="6430" max="6430" width="4.83203125" style="67" customWidth="1"/>
    <col min="6431" max="6431" width="4.58203125" style="67" customWidth="1"/>
    <col min="6432" max="6432" width="4" style="67" customWidth="1"/>
    <col min="6433" max="6433" width="5.75" style="67" customWidth="1"/>
    <col min="6434" max="6434" width="5.08203125" style="67" customWidth="1"/>
    <col min="6435" max="6435" width="3.25" style="67" customWidth="1"/>
    <col min="6436" max="6436" width="3.08203125" style="67" customWidth="1"/>
    <col min="6437" max="6657" width="4.58203125" style="67"/>
    <col min="6658" max="6658" width="3.75" style="67" customWidth="1"/>
    <col min="6659" max="6659" width="6.5" style="67" customWidth="1"/>
    <col min="6660" max="6660" width="2.33203125" style="67" customWidth="1"/>
    <col min="6661" max="6661" width="4.58203125" style="67" customWidth="1"/>
    <col min="6662" max="6662" width="5.5" style="67" customWidth="1"/>
    <col min="6663" max="6663" width="11.5" style="67" customWidth="1"/>
    <col min="6664" max="6664" width="13.5" style="67" customWidth="1"/>
    <col min="6665" max="6665" width="4.58203125" style="67" customWidth="1"/>
    <col min="6666" max="6666" width="10.75" style="67" customWidth="1"/>
    <col min="6667" max="6667" width="3.25" style="67" customWidth="1"/>
    <col min="6668" max="6668" width="12.5" style="67" customWidth="1"/>
    <col min="6669" max="6669" width="13.58203125" style="67" customWidth="1"/>
    <col min="6670" max="6670" width="4.58203125" style="67" customWidth="1"/>
    <col min="6671" max="6671" width="5.25" style="67" customWidth="1"/>
    <col min="6672" max="6672" width="6" style="67" customWidth="1"/>
    <col min="6673" max="6673" width="7.08203125" style="67" customWidth="1"/>
    <col min="6674" max="6674" width="4.75" style="67" customWidth="1"/>
    <col min="6675" max="6675" width="6" style="67" customWidth="1"/>
    <col min="6676" max="6676" width="5.33203125" style="67" customWidth="1"/>
    <col min="6677" max="6677" width="3.5" style="67" customWidth="1"/>
    <col min="6678" max="6678" width="7.08203125" style="67" customWidth="1"/>
    <col min="6679" max="6679" width="3.83203125" style="67" customWidth="1"/>
    <col min="6680" max="6680" width="7.08203125" style="67" customWidth="1"/>
    <col min="6681" max="6681" width="5.08203125" style="67" customWidth="1"/>
    <col min="6682" max="6682" width="5.5" style="67" customWidth="1"/>
    <col min="6683" max="6683" width="5.58203125" style="67" customWidth="1"/>
    <col min="6684" max="6684" width="6.25" style="67" customWidth="1"/>
    <col min="6685" max="6685" width="3" style="67" customWidth="1"/>
    <col min="6686" max="6686" width="4.83203125" style="67" customWidth="1"/>
    <col min="6687" max="6687" width="4.58203125" style="67" customWidth="1"/>
    <col min="6688" max="6688" width="4" style="67" customWidth="1"/>
    <col min="6689" max="6689" width="5.75" style="67" customWidth="1"/>
    <col min="6690" max="6690" width="5.08203125" style="67" customWidth="1"/>
    <col min="6691" max="6691" width="3.25" style="67" customWidth="1"/>
    <col min="6692" max="6692" width="3.08203125" style="67" customWidth="1"/>
    <col min="6693" max="6913" width="4.58203125" style="67"/>
    <col min="6914" max="6914" width="3.75" style="67" customWidth="1"/>
    <col min="6915" max="6915" width="6.5" style="67" customWidth="1"/>
    <col min="6916" max="6916" width="2.33203125" style="67" customWidth="1"/>
    <col min="6917" max="6917" width="4.58203125" style="67" customWidth="1"/>
    <col min="6918" max="6918" width="5.5" style="67" customWidth="1"/>
    <col min="6919" max="6919" width="11.5" style="67" customWidth="1"/>
    <col min="6920" max="6920" width="13.5" style="67" customWidth="1"/>
    <col min="6921" max="6921" width="4.58203125" style="67" customWidth="1"/>
    <col min="6922" max="6922" width="10.75" style="67" customWidth="1"/>
    <col min="6923" max="6923" width="3.25" style="67" customWidth="1"/>
    <col min="6924" max="6924" width="12.5" style="67" customWidth="1"/>
    <col min="6925" max="6925" width="13.58203125" style="67" customWidth="1"/>
    <col min="6926" max="6926" width="4.58203125" style="67" customWidth="1"/>
    <col min="6927" max="6927" width="5.25" style="67" customWidth="1"/>
    <col min="6928" max="6928" width="6" style="67" customWidth="1"/>
    <col min="6929" max="6929" width="7.08203125" style="67" customWidth="1"/>
    <col min="6930" max="6930" width="4.75" style="67" customWidth="1"/>
    <col min="6931" max="6931" width="6" style="67" customWidth="1"/>
    <col min="6932" max="6932" width="5.33203125" style="67" customWidth="1"/>
    <col min="6933" max="6933" width="3.5" style="67" customWidth="1"/>
    <col min="6934" max="6934" width="7.08203125" style="67" customWidth="1"/>
    <col min="6935" max="6935" width="3.83203125" style="67" customWidth="1"/>
    <col min="6936" max="6936" width="7.08203125" style="67" customWidth="1"/>
    <col min="6937" max="6937" width="5.08203125" style="67" customWidth="1"/>
    <col min="6938" max="6938" width="5.5" style="67" customWidth="1"/>
    <col min="6939" max="6939" width="5.58203125" style="67" customWidth="1"/>
    <col min="6940" max="6940" width="6.25" style="67" customWidth="1"/>
    <col min="6941" max="6941" width="3" style="67" customWidth="1"/>
    <col min="6942" max="6942" width="4.83203125" style="67" customWidth="1"/>
    <col min="6943" max="6943" width="4.58203125" style="67" customWidth="1"/>
    <col min="6944" max="6944" width="4" style="67" customWidth="1"/>
    <col min="6945" max="6945" width="5.75" style="67" customWidth="1"/>
    <col min="6946" max="6946" width="5.08203125" style="67" customWidth="1"/>
    <col min="6947" max="6947" width="3.25" style="67" customWidth="1"/>
    <col min="6948" max="6948" width="3.08203125" style="67" customWidth="1"/>
    <col min="6949" max="7169" width="9" style="67"/>
    <col min="7170" max="7170" width="3.75" style="67" customWidth="1"/>
    <col min="7171" max="7171" width="6.5" style="67" customWidth="1"/>
    <col min="7172" max="7172" width="2.33203125" style="67" customWidth="1"/>
    <col min="7173" max="7173" width="4.58203125" style="67" customWidth="1"/>
    <col min="7174" max="7174" width="5.5" style="67" customWidth="1"/>
    <col min="7175" max="7175" width="11.5" style="67" customWidth="1"/>
    <col min="7176" max="7176" width="13.5" style="67" customWidth="1"/>
    <col min="7177" max="7177" width="4.58203125" style="67" customWidth="1"/>
    <col min="7178" max="7178" width="10.75" style="67" customWidth="1"/>
    <col min="7179" max="7179" width="3.25" style="67" customWidth="1"/>
    <col min="7180" max="7180" width="12.5" style="67" customWidth="1"/>
    <col min="7181" max="7181" width="13.58203125" style="67" customWidth="1"/>
    <col min="7182" max="7182" width="4.58203125" style="67" customWidth="1"/>
    <col min="7183" max="7183" width="5.25" style="67" customWidth="1"/>
    <col min="7184" max="7184" width="6" style="67" customWidth="1"/>
    <col min="7185" max="7185" width="7.08203125" style="67" customWidth="1"/>
    <col min="7186" max="7186" width="4.75" style="67" customWidth="1"/>
    <col min="7187" max="7187" width="6" style="67" customWidth="1"/>
    <col min="7188" max="7188" width="5.33203125" style="67" customWidth="1"/>
    <col min="7189" max="7189" width="3.5" style="67" customWidth="1"/>
    <col min="7190" max="7190" width="7.08203125" style="67" customWidth="1"/>
    <col min="7191" max="7191" width="3.83203125" style="67" customWidth="1"/>
    <col min="7192" max="7192" width="7.08203125" style="67" customWidth="1"/>
    <col min="7193" max="7193" width="5.08203125" style="67" customWidth="1"/>
    <col min="7194" max="7194" width="5.5" style="67" customWidth="1"/>
    <col min="7195" max="7195" width="5.58203125" style="67" customWidth="1"/>
    <col min="7196" max="7196" width="6.25" style="67" customWidth="1"/>
    <col min="7197" max="7197" width="3" style="67" customWidth="1"/>
    <col min="7198" max="7198" width="4.83203125" style="67" customWidth="1"/>
    <col min="7199" max="7199" width="4.58203125" style="67" customWidth="1"/>
    <col min="7200" max="7200" width="4" style="67" customWidth="1"/>
    <col min="7201" max="7201" width="5.75" style="67" customWidth="1"/>
    <col min="7202" max="7202" width="5.08203125" style="67" customWidth="1"/>
    <col min="7203" max="7203" width="3.25" style="67" customWidth="1"/>
    <col min="7204" max="7204" width="3.08203125" style="67" customWidth="1"/>
    <col min="7205" max="7425" width="4.58203125" style="67"/>
    <col min="7426" max="7426" width="3.75" style="67" customWidth="1"/>
    <col min="7427" max="7427" width="6.5" style="67" customWidth="1"/>
    <col min="7428" max="7428" width="2.33203125" style="67" customWidth="1"/>
    <col min="7429" max="7429" width="4.58203125" style="67" customWidth="1"/>
    <col min="7430" max="7430" width="5.5" style="67" customWidth="1"/>
    <col min="7431" max="7431" width="11.5" style="67" customWidth="1"/>
    <col min="7432" max="7432" width="13.5" style="67" customWidth="1"/>
    <col min="7433" max="7433" width="4.58203125" style="67" customWidth="1"/>
    <col min="7434" max="7434" width="10.75" style="67" customWidth="1"/>
    <col min="7435" max="7435" width="3.25" style="67" customWidth="1"/>
    <col min="7436" max="7436" width="12.5" style="67" customWidth="1"/>
    <col min="7437" max="7437" width="13.58203125" style="67" customWidth="1"/>
    <col min="7438" max="7438" width="4.58203125" style="67" customWidth="1"/>
    <col min="7439" max="7439" width="5.25" style="67" customWidth="1"/>
    <col min="7440" max="7440" width="6" style="67" customWidth="1"/>
    <col min="7441" max="7441" width="7.08203125" style="67" customWidth="1"/>
    <col min="7442" max="7442" width="4.75" style="67" customWidth="1"/>
    <col min="7443" max="7443" width="6" style="67" customWidth="1"/>
    <col min="7444" max="7444" width="5.33203125" style="67" customWidth="1"/>
    <col min="7445" max="7445" width="3.5" style="67" customWidth="1"/>
    <col min="7446" max="7446" width="7.08203125" style="67" customWidth="1"/>
    <col min="7447" max="7447" width="3.83203125" style="67" customWidth="1"/>
    <col min="7448" max="7448" width="7.08203125" style="67" customWidth="1"/>
    <col min="7449" max="7449" width="5.08203125" style="67" customWidth="1"/>
    <col min="7450" max="7450" width="5.5" style="67" customWidth="1"/>
    <col min="7451" max="7451" width="5.58203125" style="67" customWidth="1"/>
    <col min="7452" max="7452" width="6.25" style="67" customWidth="1"/>
    <col min="7453" max="7453" width="3" style="67" customWidth="1"/>
    <col min="7454" max="7454" width="4.83203125" style="67" customWidth="1"/>
    <col min="7455" max="7455" width="4.58203125" style="67" customWidth="1"/>
    <col min="7456" max="7456" width="4" style="67" customWidth="1"/>
    <col min="7457" max="7457" width="5.75" style="67" customWidth="1"/>
    <col min="7458" max="7458" width="5.08203125" style="67" customWidth="1"/>
    <col min="7459" max="7459" width="3.25" style="67" customWidth="1"/>
    <col min="7460" max="7460" width="3.08203125" style="67" customWidth="1"/>
    <col min="7461" max="7681" width="4.58203125" style="67"/>
    <col min="7682" max="7682" width="3.75" style="67" customWidth="1"/>
    <col min="7683" max="7683" width="6.5" style="67" customWidth="1"/>
    <col min="7684" max="7684" width="2.33203125" style="67" customWidth="1"/>
    <col min="7685" max="7685" width="4.58203125" style="67" customWidth="1"/>
    <col min="7686" max="7686" width="5.5" style="67" customWidth="1"/>
    <col min="7687" max="7687" width="11.5" style="67" customWidth="1"/>
    <col min="7688" max="7688" width="13.5" style="67" customWidth="1"/>
    <col min="7689" max="7689" width="4.58203125" style="67" customWidth="1"/>
    <col min="7690" max="7690" width="10.75" style="67" customWidth="1"/>
    <col min="7691" max="7691" width="3.25" style="67" customWidth="1"/>
    <col min="7692" max="7692" width="12.5" style="67" customWidth="1"/>
    <col min="7693" max="7693" width="13.58203125" style="67" customWidth="1"/>
    <col min="7694" max="7694" width="4.58203125" style="67" customWidth="1"/>
    <col min="7695" max="7695" width="5.25" style="67" customWidth="1"/>
    <col min="7696" max="7696" width="6" style="67" customWidth="1"/>
    <col min="7697" max="7697" width="7.08203125" style="67" customWidth="1"/>
    <col min="7698" max="7698" width="4.75" style="67" customWidth="1"/>
    <col min="7699" max="7699" width="6" style="67" customWidth="1"/>
    <col min="7700" max="7700" width="5.33203125" style="67" customWidth="1"/>
    <col min="7701" max="7701" width="3.5" style="67" customWidth="1"/>
    <col min="7702" max="7702" width="7.08203125" style="67" customWidth="1"/>
    <col min="7703" max="7703" width="3.83203125" style="67" customWidth="1"/>
    <col min="7704" max="7704" width="7.08203125" style="67" customWidth="1"/>
    <col min="7705" max="7705" width="5.08203125" style="67" customWidth="1"/>
    <col min="7706" max="7706" width="5.5" style="67" customWidth="1"/>
    <col min="7707" max="7707" width="5.58203125" style="67" customWidth="1"/>
    <col min="7708" max="7708" width="6.25" style="67" customWidth="1"/>
    <col min="7709" max="7709" width="3" style="67" customWidth="1"/>
    <col min="7710" max="7710" width="4.83203125" style="67" customWidth="1"/>
    <col min="7711" max="7711" width="4.58203125" style="67" customWidth="1"/>
    <col min="7712" max="7712" width="4" style="67" customWidth="1"/>
    <col min="7713" max="7713" width="5.75" style="67" customWidth="1"/>
    <col min="7714" max="7714" width="5.08203125" style="67" customWidth="1"/>
    <col min="7715" max="7715" width="3.25" style="67" customWidth="1"/>
    <col min="7716" max="7716" width="3.08203125" style="67" customWidth="1"/>
    <col min="7717" max="7937" width="4.58203125" style="67"/>
    <col min="7938" max="7938" width="3.75" style="67" customWidth="1"/>
    <col min="7939" max="7939" width="6.5" style="67" customWidth="1"/>
    <col min="7940" max="7940" width="2.33203125" style="67" customWidth="1"/>
    <col min="7941" max="7941" width="4.58203125" style="67" customWidth="1"/>
    <col min="7942" max="7942" width="5.5" style="67" customWidth="1"/>
    <col min="7943" max="7943" width="11.5" style="67" customWidth="1"/>
    <col min="7944" max="7944" width="13.5" style="67" customWidth="1"/>
    <col min="7945" max="7945" width="4.58203125" style="67" customWidth="1"/>
    <col min="7946" max="7946" width="10.75" style="67" customWidth="1"/>
    <col min="7947" max="7947" width="3.25" style="67" customWidth="1"/>
    <col min="7948" max="7948" width="12.5" style="67" customWidth="1"/>
    <col min="7949" max="7949" width="13.58203125" style="67" customWidth="1"/>
    <col min="7950" max="7950" width="4.58203125" style="67" customWidth="1"/>
    <col min="7951" max="7951" width="5.25" style="67" customWidth="1"/>
    <col min="7952" max="7952" width="6" style="67" customWidth="1"/>
    <col min="7953" max="7953" width="7.08203125" style="67" customWidth="1"/>
    <col min="7954" max="7954" width="4.75" style="67" customWidth="1"/>
    <col min="7955" max="7955" width="6" style="67" customWidth="1"/>
    <col min="7956" max="7956" width="5.33203125" style="67" customWidth="1"/>
    <col min="7957" max="7957" width="3.5" style="67" customWidth="1"/>
    <col min="7958" max="7958" width="7.08203125" style="67" customWidth="1"/>
    <col min="7959" max="7959" width="3.83203125" style="67" customWidth="1"/>
    <col min="7960" max="7960" width="7.08203125" style="67" customWidth="1"/>
    <col min="7961" max="7961" width="5.08203125" style="67" customWidth="1"/>
    <col min="7962" max="7962" width="5.5" style="67" customWidth="1"/>
    <col min="7963" max="7963" width="5.58203125" style="67" customWidth="1"/>
    <col min="7964" max="7964" width="6.25" style="67" customWidth="1"/>
    <col min="7965" max="7965" width="3" style="67" customWidth="1"/>
    <col min="7966" max="7966" width="4.83203125" style="67" customWidth="1"/>
    <col min="7967" max="7967" width="4.58203125" style="67" customWidth="1"/>
    <col min="7968" max="7968" width="4" style="67" customWidth="1"/>
    <col min="7969" max="7969" width="5.75" style="67" customWidth="1"/>
    <col min="7970" max="7970" width="5.08203125" style="67" customWidth="1"/>
    <col min="7971" max="7971" width="3.25" style="67" customWidth="1"/>
    <col min="7972" max="7972" width="3.08203125" style="67" customWidth="1"/>
    <col min="7973" max="8193" width="9" style="67"/>
    <col min="8194" max="8194" width="3.75" style="67" customWidth="1"/>
    <col min="8195" max="8195" width="6.5" style="67" customWidth="1"/>
    <col min="8196" max="8196" width="2.33203125" style="67" customWidth="1"/>
    <col min="8197" max="8197" width="4.58203125" style="67" customWidth="1"/>
    <col min="8198" max="8198" width="5.5" style="67" customWidth="1"/>
    <col min="8199" max="8199" width="11.5" style="67" customWidth="1"/>
    <col min="8200" max="8200" width="13.5" style="67" customWidth="1"/>
    <col min="8201" max="8201" width="4.58203125" style="67" customWidth="1"/>
    <col min="8202" max="8202" width="10.75" style="67" customWidth="1"/>
    <col min="8203" max="8203" width="3.25" style="67" customWidth="1"/>
    <col min="8204" max="8204" width="12.5" style="67" customWidth="1"/>
    <col min="8205" max="8205" width="13.58203125" style="67" customWidth="1"/>
    <col min="8206" max="8206" width="4.58203125" style="67" customWidth="1"/>
    <col min="8207" max="8207" width="5.25" style="67" customWidth="1"/>
    <col min="8208" max="8208" width="6" style="67" customWidth="1"/>
    <col min="8209" max="8209" width="7.08203125" style="67" customWidth="1"/>
    <col min="8210" max="8210" width="4.75" style="67" customWidth="1"/>
    <col min="8211" max="8211" width="6" style="67" customWidth="1"/>
    <col min="8212" max="8212" width="5.33203125" style="67" customWidth="1"/>
    <col min="8213" max="8213" width="3.5" style="67" customWidth="1"/>
    <col min="8214" max="8214" width="7.08203125" style="67" customWidth="1"/>
    <col min="8215" max="8215" width="3.83203125" style="67" customWidth="1"/>
    <col min="8216" max="8216" width="7.08203125" style="67" customWidth="1"/>
    <col min="8217" max="8217" width="5.08203125" style="67" customWidth="1"/>
    <col min="8218" max="8218" width="5.5" style="67" customWidth="1"/>
    <col min="8219" max="8219" width="5.58203125" style="67" customWidth="1"/>
    <col min="8220" max="8220" width="6.25" style="67" customWidth="1"/>
    <col min="8221" max="8221" width="3" style="67" customWidth="1"/>
    <col min="8222" max="8222" width="4.83203125" style="67" customWidth="1"/>
    <col min="8223" max="8223" width="4.58203125" style="67" customWidth="1"/>
    <col min="8224" max="8224" width="4" style="67" customWidth="1"/>
    <col min="8225" max="8225" width="5.75" style="67" customWidth="1"/>
    <col min="8226" max="8226" width="5.08203125" style="67" customWidth="1"/>
    <col min="8227" max="8227" width="3.25" style="67" customWidth="1"/>
    <col min="8228" max="8228" width="3.08203125" style="67" customWidth="1"/>
    <col min="8229" max="8449" width="4.58203125" style="67"/>
    <col min="8450" max="8450" width="3.75" style="67" customWidth="1"/>
    <col min="8451" max="8451" width="6.5" style="67" customWidth="1"/>
    <col min="8452" max="8452" width="2.33203125" style="67" customWidth="1"/>
    <col min="8453" max="8453" width="4.58203125" style="67" customWidth="1"/>
    <col min="8454" max="8454" width="5.5" style="67" customWidth="1"/>
    <col min="8455" max="8455" width="11.5" style="67" customWidth="1"/>
    <col min="8456" max="8456" width="13.5" style="67" customWidth="1"/>
    <col min="8457" max="8457" width="4.58203125" style="67" customWidth="1"/>
    <col min="8458" max="8458" width="10.75" style="67" customWidth="1"/>
    <col min="8459" max="8459" width="3.25" style="67" customWidth="1"/>
    <col min="8460" max="8460" width="12.5" style="67" customWidth="1"/>
    <col min="8461" max="8461" width="13.58203125" style="67" customWidth="1"/>
    <col min="8462" max="8462" width="4.58203125" style="67" customWidth="1"/>
    <col min="8463" max="8463" width="5.25" style="67" customWidth="1"/>
    <col min="8464" max="8464" width="6" style="67" customWidth="1"/>
    <col min="8465" max="8465" width="7.08203125" style="67" customWidth="1"/>
    <col min="8466" max="8466" width="4.75" style="67" customWidth="1"/>
    <col min="8467" max="8467" width="6" style="67" customWidth="1"/>
    <col min="8468" max="8468" width="5.33203125" style="67" customWidth="1"/>
    <col min="8469" max="8469" width="3.5" style="67" customWidth="1"/>
    <col min="8470" max="8470" width="7.08203125" style="67" customWidth="1"/>
    <col min="8471" max="8471" width="3.83203125" style="67" customWidth="1"/>
    <col min="8472" max="8472" width="7.08203125" style="67" customWidth="1"/>
    <col min="8473" max="8473" width="5.08203125" style="67" customWidth="1"/>
    <col min="8474" max="8474" width="5.5" style="67" customWidth="1"/>
    <col min="8475" max="8475" width="5.58203125" style="67" customWidth="1"/>
    <col min="8476" max="8476" width="6.25" style="67" customWidth="1"/>
    <col min="8477" max="8477" width="3" style="67" customWidth="1"/>
    <col min="8478" max="8478" width="4.83203125" style="67" customWidth="1"/>
    <col min="8479" max="8479" width="4.58203125" style="67" customWidth="1"/>
    <col min="8480" max="8480" width="4" style="67" customWidth="1"/>
    <col min="8481" max="8481" width="5.75" style="67" customWidth="1"/>
    <col min="8482" max="8482" width="5.08203125" style="67" customWidth="1"/>
    <col min="8483" max="8483" width="3.25" style="67" customWidth="1"/>
    <col min="8484" max="8484" width="3.08203125" style="67" customWidth="1"/>
    <col min="8485" max="8705" width="4.58203125" style="67"/>
    <col min="8706" max="8706" width="3.75" style="67" customWidth="1"/>
    <col min="8707" max="8707" width="6.5" style="67" customWidth="1"/>
    <col min="8708" max="8708" width="2.33203125" style="67" customWidth="1"/>
    <col min="8709" max="8709" width="4.58203125" style="67" customWidth="1"/>
    <col min="8710" max="8710" width="5.5" style="67" customWidth="1"/>
    <col min="8711" max="8711" width="11.5" style="67" customWidth="1"/>
    <col min="8712" max="8712" width="13.5" style="67" customWidth="1"/>
    <col min="8713" max="8713" width="4.58203125" style="67" customWidth="1"/>
    <col min="8714" max="8714" width="10.75" style="67" customWidth="1"/>
    <col min="8715" max="8715" width="3.25" style="67" customWidth="1"/>
    <col min="8716" max="8716" width="12.5" style="67" customWidth="1"/>
    <col min="8717" max="8717" width="13.58203125" style="67" customWidth="1"/>
    <col min="8718" max="8718" width="4.58203125" style="67" customWidth="1"/>
    <col min="8719" max="8719" width="5.25" style="67" customWidth="1"/>
    <col min="8720" max="8720" width="6" style="67" customWidth="1"/>
    <col min="8721" max="8721" width="7.08203125" style="67" customWidth="1"/>
    <col min="8722" max="8722" width="4.75" style="67" customWidth="1"/>
    <col min="8723" max="8723" width="6" style="67" customWidth="1"/>
    <col min="8724" max="8724" width="5.33203125" style="67" customWidth="1"/>
    <col min="8725" max="8725" width="3.5" style="67" customWidth="1"/>
    <col min="8726" max="8726" width="7.08203125" style="67" customWidth="1"/>
    <col min="8727" max="8727" width="3.83203125" style="67" customWidth="1"/>
    <col min="8728" max="8728" width="7.08203125" style="67" customWidth="1"/>
    <col min="8729" max="8729" width="5.08203125" style="67" customWidth="1"/>
    <col min="8730" max="8730" width="5.5" style="67" customWidth="1"/>
    <col min="8731" max="8731" width="5.58203125" style="67" customWidth="1"/>
    <col min="8732" max="8732" width="6.25" style="67" customWidth="1"/>
    <col min="8733" max="8733" width="3" style="67" customWidth="1"/>
    <col min="8734" max="8734" width="4.83203125" style="67" customWidth="1"/>
    <col min="8735" max="8735" width="4.58203125" style="67" customWidth="1"/>
    <col min="8736" max="8736" width="4" style="67" customWidth="1"/>
    <col min="8737" max="8737" width="5.75" style="67" customWidth="1"/>
    <col min="8738" max="8738" width="5.08203125" style="67" customWidth="1"/>
    <col min="8739" max="8739" width="3.25" style="67" customWidth="1"/>
    <col min="8740" max="8740" width="3.08203125" style="67" customWidth="1"/>
    <col min="8741" max="8961" width="4.58203125" style="67"/>
    <col min="8962" max="8962" width="3.75" style="67" customWidth="1"/>
    <col min="8963" max="8963" width="6.5" style="67" customWidth="1"/>
    <col min="8964" max="8964" width="2.33203125" style="67" customWidth="1"/>
    <col min="8965" max="8965" width="4.58203125" style="67" customWidth="1"/>
    <col min="8966" max="8966" width="5.5" style="67" customWidth="1"/>
    <col min="8967" max="8967" width="11.5" style="67" customWidth="1"/>
    <col min="8968" max="8968" width="13.5" style="67" customWidth="1"/>
    <col min="8969" max="8969" width="4.58203125" style="67" customWidth="1"/>
    <col min="8970" max="8970" width="10.75" style="67" customWidth="1"/>
    <col min="8971" max="8971" width="3.25" style="67" customWidth="1"/>
    <col min="8972" max="8972" width="12.5" style="67" customWidth="1"/>
    <col min="8973" max="8973" width="13.58203125" style="67" customWidth="1"/>
    <col min="8974" max="8974" width="4.58203125" style="67" customWidth="1"/>
    <col min="8975" max="8975" width="5.25" style="67" customWidth="1"/>
    <col min="8976" max="8976" width="6" style="67" customWidth="1"/>
    <col min="8977" max="8977" width="7.08203125" style="67" customWidth="1"/>
    <col min="8978" max="8978" width="4.75" style="67" customWidth="1"/>
    <col min="8979" max="8979" width="6" style="67" customWidth="1"/>
    <col min="8980" max="8980" width="5.33203125" style="67" customWidth="1"/>
    <col min="8981" max="8981" width="3.5" style="67" customWidth="1"/>
    <col min="8982" max="8982" width="7.08203125" style="67" customWidth="1"/>
    <col min="8983" max="8983" width="3.83203125" style="67" customWidth="1"/>
    <col min="8984" max="8984" width="7.08203125" style="67" customWidth="1"/>
    <col min="8985" max="8985" width="5.08203125" style="67" customWidth="1"/>
    <col min="8986" max="8986" width="5.5" style="67" customWidth="1"/>
    <col min="8987" max="8987" width="5.58203125" style="67" customWidth="1"/>
    <col min="8988" max="8988" width="6.25" style="67" customWidth="1"/>
    <col min="8989" max="8989" width="3" style="67" customWidth="1"/>
    <col min="8990" max="8990" width="4.83203125" style="67" customWidth="1"/>
    <col min="8991" max="8991" width="4.58203125" style="67" customWidth="1"/>
    <col min="8992" max="8992" width="4" style="67" customWidth="1"/>
    <col min="8993" max="8993" width="5.75" style="67" customWidth="1"/>
    <col min="8994" max="8994" width="5.08203125" style="67" customWidth="1"/>
    <col min="8995" max="8995" width="3.25" style="67" customWidth="1"/>
    <col min="8996" max="8996" width="3.08203125" style="67" customWidth="1"/>
    <col min="8997" max="9217" width="9" style="67"/>
    <col min="9218" max="9218" width="3.75" style="67" customWidth="1"/>
    <col min="9219" max="9219" width="6.5" style="67" customWidth="1"/>
    <col min="9220" max="9220" width="2.33203125" style="67" customWidth="1"/>
    <col min="9221" max="9221" width="4.58203125" style="67" customWidth="1"/>
    <col min="9222" max="9222" width="5.5" style="67" customWidth="1"/>
    <col min="9223" max="9223" width="11.5" style="67" customWidth="1"/>
    <col min="9224" max="9224" width="13.5" style="67" customWidth="1"/>
    <col min="9225" max="9225" width="4.58203125" style="67" customWidth="1"/>
    <col min="9226" max="9226" width="10.75" style="67" customWidth="1"/>
    <col min="9227" max="9227" width="3.25" style="67" customWidth="1"/>
    <col min="9228" max="9228" width="12.5" style="67" customWidth="1"/>
    <col min="9229" max="9229" width="13.58203125" style="67" customWidth="1"/>
    <col min="9230" max="9230" width="4.58203125" style="67" customWidth="1"/>
    <col min="9231" max="9231" width="5.25" style="67" customWidth="1"/>
    <col min="9232" max="9232" width="6" style="67" customWidth="1"/>
    <col min="9233" max="9233" width="7.08203125" style="67" customWidth="1"/>
    <col min="9234" max="9234" width="4.75" style="67" customWidth="1"/>
    <col min="9235" max="9235" width="6" style="67" customWidth="1"/>
    <col min="9236" max="9236" width="5.33203125" style="67" customWidth="1"/>
    <col min="9237" max="9237" width="3.5" style="67" customWidth="1"/>
    <col min="9238" max="9238" width="7.08203125" style="67" customWidth="1"/>
    <col min="9239" max="9239" width="3.83203125" style="67" customWidth="1"/>
    <col min="9240" max="9240" width="7.08203125" style="67" customWidth="1"/>
    <col min="9241" max="9241" width="5.08203125" style="67" customWidth="1"/>
    <col min="9242" max="9242" width="5.5" style="67" customWidth="1"/>
    <col min="9243" max="9243" width="5.58203125" style="67" customWidth="1"/>
    <col min="9244" max="9244" width="6.25" style="67" customWidth="1"/>
    <col min="9245" max="9245" width="3" style="67" customWidth="1"/>
    <col min="9246" max="9246" width="4.83203125" style="67" customWidth="1"/>
    <col min="9247" max="9247" width="4.58203125" style="67" customWidth="1"/>
    <col min="9248" max="9248" width="4" style="67" customWidth="1"/>
    <col min="9249" max="9249" width="5.75" style="67" customWidth="1"/>
    <col min="9250" max="9250" width="5.08203125" style="67" customWidth="1"/>
    <col min="9251" max="9251" width="3.25" style="67" customWidth="1"/>
    <col min="9252" max="9252" width="3.08203125" style="67" customWidth="1"/>
    <col min="9253" max="9473" width="4.58203125" style="67"/>
    <col min="9474" max="9474" width="3.75" style="67" customWidth="1"/>
    <col min="9475" max="9475" width="6.5" style="67" customWidth="1"/>
    <col min="9476" max="9476" width="2.33203125" style="67" customWidth="1"/>
    <col min="9477" max="9477" width="4.58203125" style="67" customWidth="1"/>
    <col min="9478" max="9478" width="5.5" style="67" customWidth="1"/>
    <col min="9479" max="9479" width="11.5" style="67" customWidth="1"/>
    <col min="9480" max="9480" width="13.5" style="67" customWidth="1"/>
    <col min="9481" max="9481" width="4.58203125" style="67" customWidth="1"/>
    <col min="9482" max="9482" width="10.75" style="67" customWidth="1"/>
    <col min="9483" max="9483" width="3.25" style="67" customWidth="1"/>
    <col min="9484" max="9484" width="12.5" style="67" customWidth="1"/>
    <col min="9485" max="9485" width="13.58203125" style="67" customWidth="1"/>
    <col min="9486" max="9486" width="4.58203125" style="67" customWidth="1"/>
    <col min="9487" max="9487" width="5.25" style="67" customWidth="1"/>
    <col min="9488" max="9488" width="6" style="67" customWidth="1"/>
    <col min="9489" max="9489" width="7.08203125" style="67" customWidth="1"/>
    <col min="9490" max="9490" width="4.75" style="67" customWidth="1"/>
    <col min="9491" max="9491" width="6" style="67" customWidth="1"/>
    <col min="9492" max="9492" width="5.33203125" style="67" customWidth="1"/>
    <col min="9493" max="9493" width="3.5" style="67" customWidth="1"/>
    <col min="9494" max="9494" width="7.08203125" style="67" customWidth="1"/>
    <col min="9495" max="9495" width="3.83203125" style="67" customWidth="1"/>
    <col min="9496" max="9496" width="7.08203125" style="67" customWidth="1"/>
    <col min="9497" max="9497" width="5.08203125" style="67" customWidth="1"/>
    <col min="9498" max="9498" width="5.5" style="67" customWidth="1"/>
    <col min="9499" max="9499" width="5.58203125" style="67" customWidth="1"/>
    <col min="9500" max="9500" width="6.25" style="67" customWidth="1"/>
    <col min="9501" max="9501" width="3" style="67" customWidth="1"/>
    <col min="9502" max="9502" width="4.83203125" style="67" customWidth="1"/>
    <col min="9503" max="9503" width="4.58203125" style="67" customWidth="1"/>
    <col min="9504" max="9504" width="4" style="67" customWidth="1"/>
    <col min="9505" max="9505" width="5.75" style="67" customWidth="1"/>
    <col min="9506" max="9506" width="5.08203125" style="67" customWidth="1"/>
    <col min="9507" max="9507" width="3.25" style="67" customWidth="1"/>
    <col min="9508" max="9508" width="3.08203125" style="67" customWidth="1"/>
    <col min="9509" max="9729" width="4.58203125" style="67"/>
    <col min="9730" max="9730" width="3.75" style="67" customWidth="1"/>
    <col min="9731" max="9731" width="6.5" style="67" customWidth="1"/>
    <col min="9732" max="9732" width="2.33203125" style="67" customWidth="1"/>
    <col min="9733" max="9733" width="4.58203125" style="67" customWidth="1"/>
    <col min="9734" max="9734" width="5.5" style="67" customWidth="1"/>
    <col min="9735" max="9735" width="11.5" style="67" customWidth="1"/>
    <col min="9736" max="9736" width="13.5" style="67" customWidth="1"/>
    <col min="9737" max="9737" width="4.58203125" style="67" customWidth="1"/>
    <col min="9738" max="9738" width="10.75" style="67" customWidth="1"/>
    <col min="9739" max="9739" width="3.25" style="67" customWidth="1"/>
    <col min="9740" max="9740" width="12.5" style="67" customWidth="1"/>
    <col min="9741" max="9741" width="13.58203125" style="67" customWidth="1"/>
    <col min="9742" max="9742" width="4.58203125" style="67" customWidth="1"/>
    <col min="9743" max="9743" width="5.25" style="67" customWidth="1"/>
    <col min="9744" max="9744" width="6" style="67" customWidth="1"/>
    <col min="9745" max="9745" width="7.08203125" style="67" customWidth="1"/>
    <col min="9746" max="9746" width="4.75" style="67" customWidth="1"/>
    <col min="9747" max="9747" width="6" style="67" customWidth="1"/>
    <col min="9748" max="9748" width="5.33203125" style="67" customWidth="1"/>
    <col min="9749" max="9749" width="3.5" style="67" customWidth="1"/>
    <col min="9750" max="9750" width="7.08203125" style="67" customWidth="1"/>
    <col min="9751" max="9751" width="3.83203125" style="67" customWidth="1"/>
    <col min="9752" max="9752" width="7.08203125" style="67" customWidth="1"/>
    <col min="9753" max="9753" width="5.08203125" style="67" customWidth="1"/>
    <col min="9754" max="9754" width="5.5" style="67" customWidth="1"/>
    <col min="9755" max="9755" width="5.58203125" style="67" customWidth="1"/>
    <col min="9756" max="9756" width="6.25" style="67" customWidth="1"/>
    <col min="9757" max="9757" width="3" style="67" customWidth="1"/>
    <col min="9758" max="9758" width="4.83203125" style="67" customWidth="1"/>
    <col min="9759" max="9759" width="4.58203125" style="67" customWidth="1"/>
    <col min="9760" max="9760" width="4" style="67" customWidth="1"/>
    <col min="9761" max="9761" width="5.75" style="67" customWidth="1"/>
    <col min="9762" max="9762" width="5.08203125" style="67" customWidth="1"/>
    <col min="9763" max="9763" width="3.25" style="67" customWidth="1"/>
    <col min="9764" max="9764" width="3.08203125" style="67" customWidth="1"/>
    <col min="9765" max="9985" width="4.58203125" style="67"/>
    <col min="9986" max="9986" width="3.75" style="67" customWidth="1"/>
    <col min="9987" max="9987" width="6.5" style="67" customWidth="1"/>
    <col min="9988" max="9988" width="2.33203125" style="67" customWidth="1"/>
    <col min="9989" max="9989" width="4.58203125" style="67" customWidth="1"/>
    <col min="9990" max="9990" width="5.5" style="67" customWidth="1"/>
    <col min="9991" max="9991" width="11.5" style="67" customWidth="1"/>
    <col min="9992" max="9992" width="13.5" style="67" customWidth="1"/>
    <col min="9993" max="9993" width="4.58203125" style="67" customWidth="1"/>
    <col min="9994" max="9994" width="10.75" style="67" customWidth="1"/>
    <col min="9995" max="9995" width="3.25" style="67" customWidth="1"/>
    <col min="9996" max="9996" width="12.5" style="67" customWidth="1"/>
    <col min="9997" max="9997" width="13.58203125" style="67" customWidth="1"/>
    <col min="9998" max="9998" width="4.58203125" style="67" customWidth="1"/>
    <col min="9999" max="9999" width="5.25" style="67" customWidth="1"/>
    <col min="10000" max="10000" width="6" style="67" customWidth="1"/>
    <col min="10001" max="10001" width="7.08203125" style="67" customWidth="1"/>
    <col min="10002" max="10002" width="4.75" style="67" customWidth="1"/>
    <col min="10003" max="10003" width="6" style="67" customWidth="1"/>
    <col min="10004" max="10004" width="5.33203125" style="67" customWidth="1"/>
    <col min="10005" max="10005" width="3.5" style="67" customWidth="1"/>
    <col min="10006" max="10006" width="7.08203125" style="67" customWidth="1"/>
    <col min="10007" max="10007" width="3.83203125" style="67" customWidth="1"/>
    <col min="10008" max="10008" width="7.08203125" style="67" customWidth="1"/>
    <col min="10009" max="10009" width="5.08203125" style="67" customWidth="1"/>
    <col min="10010" max="10010" width="5.5" style="67" customWidth="1"/>
    <col min="10011" max="10011" width="5.58203125" style="67" customWidth="1"/>
    <col min="10012" max="10012" width="6.25" style="67" customWidth="1"/>
    <col min="10013" max="10013" width="3" style="67" customWidth="1"/>
    <col min="10014" max="10014" width="4.83203125" style="67" customWidth="1"/>
    <col min="10015" max="10015" width="4.58203125" style="67" customWidth="1"/>
    <col min="10016" max="10016" width="4" style="67" customWidth="1"/>
    <col min="10017" max="10017" width="5.75" style="67" customWidth="1"/>
    <col min="10018" max="10018" width="5.08203125" style="67" customWidth="1"/>
    <col min="10019" max="10019" width="3.25" style="67" customWidth="1"/>
    <col min="10020" max="10020" width="3.08203125" style="67" customWidth="1"/>
    <col min="10021" max="10241" width="9" style="67"/>
    <col min="10242" max="10242" width="3.75" style="67" customWidth="1"/>
    <col min="10243" max="10243" width="6.5" style="67" customWidth="1"/>
    <col min="10244" max="10244" width="2.33203125" style="67" customWidth="1"/>
    <col min="10245" max="10245" width="4.58203125" style="67" customWidth="1"/>
    <col min="10246" max="10246" width="5.5" style="67" customWidth="1"/>
    <col min="10247" max="10247" width="11.5" style="67" customWidth="1"/>
    <col min="10248" max="10248" width="13.5" style="67" customWidth="1"/>
    <col min="10249" max="10249" width="4.58203125" style="67" customWidth="1"/>
    <col min="10250" max="10250" width="10.75" style="67" customWidth="1"/>
    <col min="10251" max="10251" width="3.25" style="67" customWidth="1"/>
    <col min="10252" max="10252" width="12.5" style="67" customWidth="1"/>
    <col min="10253" max="10253" width="13.58203125" style="67" customWidth="1"/>
    <col min="10254" max="10254" width="4.58203125" style="67" customWidth="1"/>
    <col min="10255" max="10255" width="5.25" style="67" customWidth="1"/>
    <col min="10256" max="10256" width="6" style="67" customWidth="1"/>
    <col min="10257" max="10257" width="7.08203125" style="67" customWidth="1"/>
    <col min="10258" max="10258" width="4.75" style="67" customWidth="1"/>
    <col min="10259" max="10259" width="6" style="67" customWidth="1"/>
    <col min="10260" max="10260" width="5.33203125" style="67" customWidth="1"/>
    <col min="10261" max="10261" width="3.5" style="67" customWidth="1"/>
    <col min="10262" max="10262" width="7.08203125" style="67" customWidth="1"/>
    <col min="10263" max="10263" width="3.83203125" style="67" customWidth="1"/>
    <col min="10264" max="10264" width="7.08203125" style="67" customWidth="1"/>
    <col min="10265" max="10265" width="5.08203125" style="67" customWidth="1"/>
    <col min="10266" max="10266" width="5.5" style="67" customWidth="1"/>
    <col min="10267" max="10267" width="5.58203125" style="67" customWidth="1"/>
    <col min="10268" max="10268" width="6.25" style="67" customWidth="1"/>
    <col min="10269" max="10269" width="3" style="67" customWidth="1"/>
    <col min="10270" max="10270" width="4.83203125" style="67" customWidth="1"/>
    <col min="10271" max="10271" width="4.58203125" style="67" customWidth="1"/>
    <col min="10272" max="10272" width="4" style="67" customWidth="1"/>
    <col min="10273" max="10273" width="5.75" style="67" customWidth="1"/>
    <col min="10274" max="10274" width="5.08203125" style="67" customWidth="1"/>
    <col min="10275" max="10275" width="3.25" style="67" customWidth="1"/>
    <col min="10276" max="10276" width="3.08203125" style="67" customWidth="1"/>
    <col min="10277" max="10497" width="4.58203125" style="67"/>
    <col min="10498" max="10498" width="3.75" style="67" customWidth="1"/>
    <col min="10499" max="10499" width="6.5" style="67" customWidth="1"/>
    <col min="10500" max="10500" width="2.33203125" style="67" customWidth="1"/>
    <col min="10501" max="10501" width="4.58203125" style="67" customWidth="1"/>
    <col min="10502" max="10502" width="5.5" style="67" customWidth="1"/>
    <col min="10503" max="10503" width="11.5" style="67" customWidth="1"/>
    <col min="10504" max="10504" width="13.5" style="67" customWidth="1"/>
    <col min="10505" max="10505" width="4.58203125" style="67" customWidth="1"/>
    <col min="10506" max="10506" width="10.75" style="67" customWidth="1"/>
    <col min="10507" max="10507" width="3.25" style="67" customWidth="1"/>
    <col min="10508" max="10508" width="12.5" style="67" customWidth="1"/>
    <col min="10509" max="10509" width="13.58203125" style="67" customWidth="1"/>
    <col min="10510" max="10510" width="4.58203125" style="67" customWidth="1"/>
    <col min="10511" max="10511" width="5.25" style="67" customWidth="1"/>
    <col min="10512" max="10512" width="6" style="67" customWidth="1"/>
    <col min="10513" max="10513" width="7.08203125" style="67" customWidth="1"/>
    <col min="10514" max="10514" width="4.75" style="67" customWidth="1"/>
    <col min="10515" max="10515" width="6" style="67" customWidth="1"/>
    <col min="10516" max="10516" width="5.33203125" style="67" customWidth="1"/>
    <col min="10517" max="10517" width="3.5" style="67" customWidth="1"/>
    <col min="10518" max="10518" width="7.08203125" style="67" customWidth="1"/>
    <col min="10519" max="10519" width="3.83203125" style="67" customWidth="1"/>
    <col min="10520" max="10520" width="7.08203125" style="67" customWidth="1"/>
    <col min="10521" max="10521" width="5.08203125" style="67" customWidth="1"/>
    <col min="10522" max="10522" width="5.5" style="67" customWidth="1"/>
    <col min="10523" max="10523" width="5.58203125" style="67" customWidth="1"/>
    <col min="10524" max="10524" width="6.25" style="67" customWidth="1"/>
    <col min="10525" max="10525" width="3" style="67" customWidth="1"/>
    <col min="10526" max="10526" width="4.83203125" style="67" customWidth="1"/>
    <col min="10527" max="10527" width="4.58203125" style="67" customWidth="1"/>
    <col min="10528" max="10528" width="4" style="67" customWidth="1"/>
    <col min="10529" max="10529" width="5.75" style="67" customWidth="1"/>
    <col min="10530" max="10530" width="5.08203125" style="67" customWidth="1"/>
    <col min="10531" max="10531" width="3.25" style="67" customWidth="1"/>
    <col min="10532" max="10532" width="3.08203125" style="67" customWidth="1"/>
    <col min="10533" max="10753" width="4.58203125" style="67"/>
    <col min="10754" max="10754" width="3.75" style="67" customWidth="1"/>
    <col min="10755" max="10755" width="6.5" style="67" customWidth="1"/>
    <col min="10756" max="10756" width="2.33203125" style="67" customWidth="1"/>
    <col min="10757" max="10757" width="4.58203125" style="67" customWidth="1"/>
    <col min="10758" max="10758" width="5.5" style="67" customWidth="1"/>
    <col min="10759" max="10759" width="11.5" style="67" customWidth="1"/>
    <col min="10760" max="10760" width="13.5" style="67" customWidth="1"/>
    <col min="10761" max="10761" width="4.58203125" style="67" customWidth="1"/>
    <col min="10762" max="10762" width="10.75" style="67" customWidth="1"/>
    <col min="10763" max="10763" width="3.25" style="67" customWidth="1"/>
    <col min="10764" max="10764" width="12.5" style="67" customWidth="1"/>
    <col min="10765" max="10765" width="13.58203125" style="67" customWidth="1"/>
    <col min="10766" max="10766" width="4.58203125" style="67" customWidth="1"/>
    <col min="10767" max="10767" width="5.25" style="67" customWidth="1"/>
    <col min="10768" max="10768" width="6" style="67" customWidth="1"/>
    <col min="10769" max="10769" width="7.08203125" style="67" customWidth="1"/>
    <col min="10770" max="10770" width="4.75" style="67" customWidth="1"/>
    <col min="10771" max="10771" width="6" style="67" customWidth="1"/>
    <col min="10772" max="10772" width="5.33203125" style="67" customWidth="1"/>
    <col min="10773" max="10773" width="3.5" style="67" customWidth="1"/>
    <col min="10774" max="10774" width="7.08203125" style="67" customWidth="1"/>
    <col min="10775" max="10775" width="3.83203125" style="67" customWidth="1"/>
    <col min="10776" max="10776" width="7.08203125" style="67" customWidth="1"/>
    <col min="10777" max="10777" width="5.08203125" style="67" customWidth="1"/>
    <col min="10778" max="10778" width="5.5" style="67" customWidth="1"/>
    <col min="10779" max="10779" width="5.58203125" style="67" customWidth="1"/>
    <col min="10780" max="10780" width="6.25" style="67" customWidth="1"/>
    <col min="10781" max="10781" width="3" style="67" customWidth="1"/>
    <col min="10782" max="10782" width="4.83203125" style="67" customWidth="1"/>
    <col min="10783" max="10783" width="4.58203125" style="67" customWidth="1"/>
    <col min="10784" max="10784" width="4" style="67" customWidth="1"/>
    <col min="10785" max="10785" width="5.75" style="67" customWidth="1"/>
    <col min="10786" max="10786" width="5.08203125" style="67" customWidth="1"/>
    <col min="10787" max="10787" width="3.25" style="67" customWidth="1"/>
    <col min="10788" max="10788" width="3.08203125" style="67" customWidth="1"/>
    <col min="10789" max="11009" width="4.58203125" style="67"/>
    <col min="11010" max="11010" width="3.75" style="67" customWidth="1"/>
    <col min="11011" max="11011" width="6.5" style="67" customWidth="1"/>
    <col min="11012" max="11012" width="2.33203125" style="67" customWidth="1"/>
    <col min="11013" max="11013" width="4.58203125" style="67" customWidth="1"/>
    <col min="11014" max="11014" width="5.5" style="67" customWidth="1"/>
    <col min="11015" max="11015" width="11.5" style="67" customWidth="1"/>
    <col min="11016" max="11016" width="13.5" style="67" customWidth="1"/>
    <col min="11017" max="11017" width="4.58203125" style="67" customWidth="1"/>
    <col min="11018" max="11018" width="10.75" style="67" customWidth="1"/>
    <col min="11019" max="11019" width="3.25" style="67" customWidth="1"/>
    <col min="11020" max="11020" width="12.5" style="67" customWidth="1"/>
    <col min="11021" max="11021" width="13.58203125" style="67" customWidth="1"/>
    <col min="11022" max="11022" width="4.58203125" style="67" customWidth="1"/>
    <col min="11023" max="11023" width="5.25" style="67" customWidth="1"/>
    <col min="11024" max="11024" width="6" style="67" customWidth="1"/>
    <col min="11025" max="11025" width="7.08203125" style="67" customWidth="1"/>
    <col min="11026" max="11026" width="4.75" style="67" customWidth="1"/>
    <col min="11027" max="11027" width="6" style="67" customWidth="1"/>
    <col min="11028" max="11028" width="5.33203125" style="67" customWidth="1"/>
    <col min="11029" max="11029" width="3.5" style="67" customWidth="1"/>
    <col min="11030" max="11030" width="7.08203125" style="67" customWidth="1"/>
    <col min="11031" max="11031" width="3.83203125" style="67" customWidth="1"/>
    <col min="11032" max="11032" width="7.08203125" style="67" customWidth="1"/>
    <col min="11033" max="11033" width="5.08203125" style="67" customWidth="1"/>
    <col min="11034" max="11034" width="5.5" style="67" customWidth="1"/>
    <col min="11035" max="11035" width="5.58203125" style="67" customWidth="1"/>
    <col min="11036" max="11036" width="6.25" style="67" customWidth="1"/>
    <col min="11037" max="11037" width="3" style="67" customWidth="1"/>
    <col min="11038" max="11038" width="4.83203125" style="67" customWidth="1"/>
    <col min="11039" max="11039" width="4.58203125" style="67" customWidth="1"/>
    <col min="11040" max="11040" width="4" style="67" customWidth="1"/>
    <col min="11041" max="11041" width="5.75" style="67" customWidth="1"/>
    <col min="11042" max="11042" width="5.08203125" style="67" customWidth="1"/>
    <col min="11043" max="11043" width="3.25" style="67" customWidth="1"/>
    <col min="11044" max="11044" width="3.08203125" style="67" customWidth="1"/>
    <col min="11045" max="11265" width="9" style="67"/>
    <col min="11266" max="11266" width="3.75" style="67" customWidth="1"/>
    <col min="11267" max="11267" width="6.5" style="67" customWidth="1"/>
    <col min="11268" max="11268" width="2.33203125" style="67" customWidth="1"/>
    <col min="11269" max="11269" width="4.58203125" style="67" customWidth="1"/>
    <col min="11270" max="11270" width="5.5" style="67" customWidth="1"/>
    <col min="11271" max="11271" width="11.5" style="67" customWidth="1"/>
    <col min="11272" max="11272" width="13.5" style="67" customWidth="1"/>
    <col min="11273" max="11273" width="4.58203125" style="67" customWidth="1"/>
    <col min="11274" max="11274" width="10.75" style="67" customWidth="1"/>
    <col min="11275" max="11275" width="3.25" style="67" customWidth="1"/>
    <col min="11276" max="11276" width="12.5" style="67" customWidth="1"/>
    <col min="11277" max="11277" width="13.58203125" style="67" customWidth="1"/>
    <col min="11278" max="11278" width="4.58203125" style="67" customWidth="1"/>
    <col min="11279" max="11279" width="5.25" style="67" customWidth="1"/>
    <col min="11280" max="11280" width="6" style="67" customWidth="1"/>
    <col min="11281" max="11281" width="7.08203125" style="67" customWidth="1"/>
    <col min="11282" max="11282" width="4.75" style="67" customWidth="1"/>
    <col min="11283" max="11283" width="6" style="67" customWidth="1"/>
    <col min="11284" max="11284" width="5.33203125" style="67" customWidth="1"/>
    <col min="11285" max="11285" width="3.5" style="67" customWidth="1"/>
    <col min="11286" max="11286" width="7.08203125" style="67" customWidth="1"/>
    <col min="11287" max="11287" width="3.83203125" style="67" customWidth="1"/>
    <col min="11288" max="11288" width="7.08203125" style="67" customWidth="1"/>
    <col min="11289" max="11289" width="5.08203125" style="67" customWidth="1"/>
    <col min="11290" max="11290" width="5.5" style="67" customWidth="1"/>
    <col min="11291" max="11291" width="5.58203125" style="67" customWidth="1"/>
    <col min="11292" max="11292" width="6.25" style="67" customWidth="1"/>
    <col min="11293" max="11293" width="3" style="67" customWidth="1"/>
    <col min="11294" max="11294" width="4.83203125" style="67" customWidth="1"/>
    <col min="11295" max="11295" width="4.58203125" style="67" customWidth="1"/>
    <col min="11296" max="11296" width="4" style="67" customWidth="1"/>
    <col min="11297" max="11297" width="5.75" style="67" customWidth="1"/>
    <col min="11298" max="11298" width="5.08203125" style="67" customWidth="1"/>
    <col min="11299" max="11299" width="3.25" style="67" customWidth="1"/>
    <col min="11300" max="11300" width="3.08203125" style="67" customWidth="1"/>
    <col min="11301" max="11521" width="4.58203125" style="67"/>
    <col min="11522" max="11522" width="3.75" style="67" customWidth="1"/>
    <col min="11523" max="11523" width="6.5" style="67" customWidth="1"/>
    <col min="11524" max="11524" width="2.33203125" style="67" customWidth="1"/>
    <col min="11525" max="11525" width="4.58203125" style="67" customWidth="1"/>
    <col min="11526" max="11526" width="5.5" style="67" customWidth="1"/>
    <col min="11527" max="11527" width="11.5" style="67" customWidth="1"/>
    <col min="11528" max="11528" width="13.5" style="67" customWidth="1"/>
    <col min="11529" max="11529" width="4.58203125" style="67" customWidth="1"/>
    <col min="11530" max="11530" width="10.75" style="67" customWidth="1"/>
    <col min="11531" max="11531" width="3.25" style="67" customWidth="1"/>
    <col min="11532" max="11532" width="12.5" style="67" customWidth="1"/>
    <col min="11533" max="11533" width="13.58203125" style="67" customWidth="1"/>
    <col min="11534" max="11534" width="4.58203125" style="67" customWidth="1"/>
    <col min="11535" max="11535" width="5.25" style="67" customWidth="1"/>
    <col min="11536" max="11536" width="6" style="67" customWidth="1"/>
    <col min="11537" max="11537" width="7.08203125" style="67" customWidth="1"/>
    <col min="11538" max="11538" width="4.75" style="67" customWidth="1"/>
    <col min="11539" max="11539" width="6" style="67" customWidth="1"/>
    <col min="11540" max="11540" width="5.33203125" style="67" customWidth="1"/>
    <col min="11541" max="11541" width="3.5" style="67" customWidth="1"/>
    <col min="11542" max="11542" width="7.08203125" style="67" customWidth="1"/>
    <col min="11543" max="11543" width="3.83203125" style="67" customWidth="1"/>
    <col min="11544" max="11544" width="7.08203125" style="67" customWidth="1"/>
    <col min="11545" max="11545" width="5.08203125" style="67" customWidth="1"/>
    <col min="11546" max="11546" width="5.5" style="67" customWidth="1"/>
    <col min="11547" max="11547" width="5.58203125" style="67" customWidth="1"/>
    <col min="11548" max="11548" width="6.25" style="67" customWidth="1"/>
    <col min="11549" max="11549" width="3" style="67" customWidth="1"/>
    <col min="11550" max="11550" width="4.83203125" style="67" customWidth="1"/>
    <col min="11551" max="11551" width="4.58203125" style="67" customWidth="1"/>
    <col min="11552" max="11552" width="4" style="67" customWidth="1"/>
    <col min="11553" max="11553" width="5.75" style="67" customWidth="1"/>
    <col min="11554" max="11554" width="5.08203125" style="67" customWidth="1"/>
    <col min="11555" max="11555" width="3.25" style="67" customWidth="1"/>
    <col min="11556" max="11556" width="3.08203125" style="67" customWidth="1"/>
    <col min="11557" max="11777" width="4.58203125" style="67"/>
    <col min="11778" max="11778" width="3.75" style="67" customWidth="1"/>
    <col min="11779" max="11779" width="6.5" style="67" customWidth="1"/>
    <col min="11780" max="11780" width="2.33203125" style="67" customWidth="1"/>
    <col min="11781" max="11781" width="4.58203125" style="67" customWidth="1"/>
    <col min="11782" max="11782" width="5.5" style="67" customWidth="1"/>
    <col min="11783" max="11783" width="11.5" style="67" customWidth="1"/>
    <col min="11784" max="11784" width="13.5" style="67" customWidth="1"/>
    <col min="11785" max="11785" width="4.58203125" style="67" customWidth="1"/>
    <col min="11786" max="11786" width="10.75" style="67" customWidth="1"/>
    <col min="11787" max="11787" width="3.25" style="67" customWidth="1"/>
    <col min="11788" max="11788" width="12.5" style="67" customWidth="1"/>
    <col min="11789" max="11789" width="13.58203125" style="67" customWidth="1"/>
    <col min="11790" max="11790" width="4.58203125" style="67" customWidth="1"/>
    <col min="11791" max="11791" width="5.25" style="67" customWidth="1"/>
    <col min="11792" max="11792" width="6" style="67" customWidth="1"/>
    <col min="11793" max="11793" width="7.08203125" style="67" customWidth="1"/>
    <col min="11794" max="11794" width="4.75" style="67" customWidth="1"/>
    <col min="11795" max="11795" width="6" style="67" customWidth="1"/>
    <col min="11796" max="11796" width="5.33203125" style="67" customWidth="1"/>
    <col min="11797" max="11797" width="3.5" style="67" customWidth="1"/>
    <col min="11798" max="11798" width="7.08203125" style="67" customWidth="1"/>
    <col min="11799" max="11799" width="3.83203125" style="67" customWidth="1"/>
    <col min="11800" max="11800" width="7.08203125" style="67" customWidth="1"/>
    <col min="11801" max="11801" width="5.08203125" style="67" customWidth="1"/>
    <col min="11802" max="11802" width="5.5" style="67" customWidth="1"/>
    <col min="11803" max="11803" width="5.58203125" style="67" customWidth="1"/>
    <col min="11804" max="11804" width="6.25" style="67" customWidth="1"/>
    <col min="11805" max="11805" width="3" style="67" customWidth="1"/>
    <col min="11806" max="11806" width="4.83203125" style="67" customWidth="1"/>
    <col min="11807" max="11807" width="4.58203125" style="67" customWidth="1"/>
    <col min="11808" max="11808" width="4" style="67" customWidth="1"/>
    <col min="11809" max="11809" width="5.75" style="67" customWidth="1"/>
    <col min="11810" max="11810" width="5.08203125" style="67" customWidth="1"/>
    <col min="11811" max="11811" width="3.25" style="67" customWidth="1"/>
    <col min="11812" max="11812" width="3.08203125" style="67" customWidth="1"/>
    <col min="11813" max="12033" width="4.58203125" style="67"/>
    <col min="12034" max="12034" width="3.75" style="67" customWidth="1"/>
    <col min="12035" max="12035" width="6.5" style="67" customWidth="1"/>
    <col min="12036" max="12036" width="2.33203125" style="67" customWidth="1"/>
    <col min="12037" max="12037" width="4.58203125" style="67" customWidth="1"/>
    <col min="12038" max="12038" width="5.5" style="67" customWidth="1"/>
    <col min="12039" max="12039" width="11.5" style="67" customWidth="1"/>
    <col min="12040" max="12040" width="13.5" style="67" customWidth="1"/>
    <col min="12041" max="12041" width="4.58203125" style="67" customWidth="1"/>
    <col min="12042" max="12042" width="10.75" style="67" customWidth="1"/>
    <col min="12043" max="12043" width="3.25" style="67" customWidth="1"/>
    <col min="12044" max="12044" width="12.5" style="67" customWidth="1"/>
    <col min="12045" max="12045" width="13.58203125" style="67" customWidth="1"/>
    <col min="12046" max="12046" width="4.58203125" style="67" customWidth="1"/>
    <col min="12047" max="12047" width="5.25" style="67" customWidth="1"/>
    <col min="12048" max="12048" width="6" style="67" customWidth="1"/>
    <col min="12049" max="12049" width="7.08203125" style="67" customWidth="1"/>
    <col min="12050" max="12050" width="4.75" style="67" customWidth="1"/>
    <col min="12051" max="12051" width="6" style="67" customWidth="1"/>
    <col min="12052" max="12052" width="5.33203125" style="67" customWidth="1"/>
    <col min="12053" max="12053" width="3.5" style="67" customWidth="1"/>
    <col min="12054" max="12054" width="7.08203125" style="67" customWidth="1"/>
    <col min="12055" max="12055" width="3.83203125" style="67" customWidth="1"/>
    <col min="12056" max="12056" width="7.08203125" style="67" customWidth="1"/>
    <col min="12057" max="12057" width="5.08203125" style="67" customWidth="1"/>
    <col min="12058" max="12058" width="5.5" style="67" customWidth="1"/>
    <col min="12059" max="12059" width="5.58203125" style="67" customWidth="1"/>
    <col min="12060" max="12060" width="6.25" style="67" customWidth="1"/>
    <col min="12061" max="12061" width="3" style="67" customWidth="1"/>
    <col min="12062" max="12062" width="4.83203125" style="67" customWidth="1"/>
    <col min="12063" max="12063" width="4.58203125" style="67" customWidth="1"/>
    <col min="12064" max="12064" width="4" style="67" customWidth="1"/>
    <col min="12065" max="12065" width="5.75" style="67" customWidth="1"/>
    <col min="12066" max="12066" width="5.08203125" style="67" customWidth="1"/>
    <col min="12067" max="12067" width="3.25" style="67" customWidth="1"/>
    <col min="12068" max="12068" width="3.08203125" style="67" customWidth="1"/>
    <col min="12069" max="12289" width="9" style="67"/>
    <col min="12290" max="12290" width="3.75" style="67" customWidth="1"/>
    <col min="12291" max="12291" width="6.5" style="67" customWidth="1"/>
    <col min="12292" max="12292" width="2.33203125" style="67" customWidth="1"/>
    <col min="12293" max="12293" width="4.58203125" style="67" customWidth="1"/>
    <col min="12294" max="12294" width="5.5" style="67" customWidth="1"/>
    <col min="12295" max="12295" width="11.5" style="67" customWidth="1"/>
    <col min="12296" max="12296" width="13.5" style="67" customWidth="1"/>
    <col min="12297" max="12297" width="4.58203125" style="67" customWidth="1"/>
    <col min="12298" max="12298" width="10.75" style="67" customWidth="1"/>
    <col min="12299" max="12299" width="3.25" style="67" customWidth="1"/>
    <col min="12300" max="12300" width="12.5" style="67" customWidth="1"/>
    <col min="12301" max="12301" width="13.58203125" style="67" customWidth="1"/>
    <col min="12302" max="12302" width="4.58203125" style="67" customWidth="1"/>
    <col min="12303" max="12303" width="5.25" style="67" customWidth="1"/>
    <col min="12304" max="12304" width="6" style="67" customWidth="1"/>
    <col min="12305" max="12305" width="7.08203125" style="67" customWidth="1"/>
    <col min="12306" max="12306" width="4.75" style="67" customWidth="1"/>
    <col min="12307" max="12307" width="6" style="67" customWidth="1"/>
    <col min="12308" max="12308" width="5.33203125" style="67" customWidth="1"/>
    <col min="12309" max="12309" width="3.5" style="67" customWidth="1"/>
    <col min="12310" max="12310" width="7.08203125" style="67" customWidth="1"/>
    <col min="12311" max="12311" width="3.83203125" style="67" customWidth="1"/>
    <col min="12312" max="12312" width="7.08203125" style="67" customWidth="1"/>
    <col min="12313" max="12313" width="5.08203125" style="67" customWidth="1"/>
    <col min="12314" max="12314" width="5.5" style="67" customWidth="1"/>
    <col min="12315" max="12315" width="5.58203125" style="67" customWidth="1"/>
    <col min="12316" max="12316" width="6.25" style="67" customWidth="1"/>
    <col min="12317" max="12317" width="3" style="67" customWidth="1"/>
    <col min="12318" max="12318" width="4.83203125" style="67" customWidth="1"/>
    <col min="12319" max="12319" width="4.58203125" style="67" customWidth="1"/>
    <col min="12320" max="12320" width="4" style="67" customWidth="1"/>
    <col min="12321" max="12321" width="5.75" style="67" customWidth="1"/>
    <col min="12322" max="12322" width="5.08203125" style="67" customWidth="1"/>
    <col min="12323" max="12323" width="3.25" style="67" customWidth="1"/>
    <col min="12324" max="12324" width="3.08203125" style="67" customWidth="1"/>
    <col min="12325" max="12545" width="4.58203125" style="67"/>
    <col min="12546" max="12546" width="3.75" style="67" customWidth="1"/>
    <col min="12547" max="12547" width="6.5" style="67" customWidth="1"/>
    <col min="12548" max="12548" width="2.33203125" style="67" customWidth="1"/>
    <col min="12549" max="12549" width="4.58203125" style="67" customWidth="1"/>
    <col min="12550" max="12550" width="5.5" style="67" customWidth="1"/>
    <col min="12551" max="12551" width="11.5" style="67" customWidth="1"/>
    <col min="12552" max="12552" width="13.5" style="67" customWidth="1"/>
    <col min="12553" max="12553" width="4.58203125" style="67" customWidth="1"/>
    <col min="12554" max="12554" width="10.75" style="67" customWidth="1"/>
    <col min="12555" max="12555" width="3.25" style="67" customWidth="1"/>
    <col min="12556" max="12556" width="12.5" style="67" customWidth="1"/>
    <col min="12557" max="12557" width="13.58203125" style="67" customWidth="1"/>
    <col min="12558" max="12558" width="4.58203125" style="67" customWidth="1"/>
    <col min="12559" max="12559" width="5.25" style="67" customWidth="1"/>
    <col min="12560" max="12560" width="6" style="67" customWidth="1"/>
    <col min="12561" max="12561" width="7.08203125" style="67" customWidth="1"/>
    <col min="12562" max="12562" width="4.75" style="67" customWidth="1"/>
    <col min="12563" max="12563" width="6" style="67" customWidth="1"/>
    <col min="12564" max="12564" width="5.33203125" style="67" customWidth="1"/>
    <col min="12565" max="12565" width="3.5" style="67" customWidth="1"/>
    <col min="12566" max="12566" width="7.08203125" style="67" customWidth="1"/>
    <col min="12567" max="12567" width="3.83203125" style="67" customWidth="1"/>
    <col min="12568" max="12568" width="7.08203125" style="67" customWidth="1"/>
    <col min="12569" max="12569" width="5.08203125" style="67" customWidth="1"/>
    <col min="12570" max="12570" width="5.5" style="67" customWidth="1"/>
    <col min="12571" max="12571" width="5.58203125" style="67" customWidth="1"/>
    <col min="12572" max="12572" width="6.25" style="67" customWidth="1"/>
    <col min="12573" max="12573" width="3" style="67" customWidth="1"/>
    <col min="12574" max="12574" width="4.83203125" style="67" customWidth="1"/>
    <col min="12575" max="12575" width="4.58203125" style="67" customWidth="1"/>
    <col min="12576" max="12576" width="4" style="67" customWidth="1"/>
    <col min="12577" max="12577" width="5.75" style="67" customWidth="1"/>
    <col min="12578" max="12578" width="5.08203125" style="67" customWidth="1"/>
    <col min="12579" max="12579" width="3.25" style="67" customWidth="1"/>
    <col min="12580" max="12580" width="3.08203125" style="67" customWidth="1"/>
    <col min="12581" max="12801" width="4.58203125" style="67"/>
    <col min="12802" max="12802" width="3.75" style="67" customWidth="1"/>
    <col min="12803" max="12803" width="6.5" style="67" customWidth="1"/>
    <col min="12804" max="12804" width="2.33203125" style="67" customWidth="1"/>
    <col min="12805" max="12805" width="4.58203125" style="67" customWidth="1"/>
    <col min="12806" max="12806" width="5.5" style="67" customWidth="1"/>
    <col min="12807" max="12807" width="11.5" style="67" customWidth="1"/>
    <col min="12808" max="12808" width="13.5" style="67" customWidth="1"/>
    <col min="12809" max="12809" width="4.58203125" style="67" customWidth="1"/>
    <col min="12810" max="12810" width="10.75" style="67" customWidth="1"/>
    <col min="12811" max="12811" width="3.25" style="67" customWidth="1"/>
    <col min="12812" max="12812" width="12.5" style="67" customWidth="1"/>
    <col min="12813" max="12813" width="13.58203125" style="67" customWidth="1"/>
    <col min="12814" max="12814" width="4.58203125" style="67" customWidth="1"/>
    <col min="12815" max="12815" width="5.25" style="67" customWidth="1"/>
    <col min="12816" max="12816" width="6" style="67" customWidth="1"/>
    <col min="12817" max="12817" width="7.08203125" style="67" customWidth="1"/>
    <col min="12818" max="12818" width="4.75" style="67" customWidth="1"/>
    <col min="12819" max="12819" width="6" style="67" customWidth="1"/>
    <col min="12820" max="12820" width="5.33203125" style="67" customWidth="1"/>
    <col min="12821" max="12821" width="3.5" style="67" customWidth="1"/>
    <col min="12822" max="12822" width="7.08203125" style="67" customWidth="1"/>
    <col min="12823" max="12823" width="3.83203125" style="67" customWidth="1"/>
    <col min="12824" max="12824" width="7.08203125" style="67" customWidth="1"/>
    <col min="12825" max="12825" width="5.08203125" style="67" customWidth="1"/>
    <col min="12826" max="12826" width="5.5" style="67" customWidth="1"/>
    <col min="12827" max="12827" width="5.58203125" style="67" customWidth="1"/>
    <col min="12828" max="12828" width="6.25" style="67" customWidth="1"/>
    <col min="12829" max="12829" width="3" style="67" customWidth="1"/>
    <col min="12830" max="12830" width="4.83203125" style="67" customWidth="1"/>
    <col min="12831" max="12831" width="4.58203125" style="67" customWidth="1"/>
    <col min="12832" max="12832" width="4" style="67" customWidth="1"/>
    <col min="12833" max="12833" width="5.75" style="67" customWidth="1"/>
    <col min="12834" max="12834" width="5.08203125" style="67" customWidth="1"/>
    <col min="12835" max="12835" width="3.25" style="67" customWidth="1"/>
    <col min="12836" max="12836" width="3.08203125" style="67" customWidth="1"/>
    <col min="12837" max="13057" width="4.58203125" style="67"/>
    <col min="13058" max="13058" width="3.75" style="67" customWidth="1"/>
    <col min="13059" max="13059" width="6.5" style="67" customWidth="1"/>
    <col min="13060" max="13060" width="2.33203125" style="67" customWidth="1"/>
    <col min="13061" max="13061" width="4.58203125" style="67" customWidth="1"/>
    <col min="13062" max="13062" width="5.5" style="67" customWidth="1"/>
    <col min="13063" max="13063" width="11.5" style="67" customWidth="1"/>
    <col min="13064" max="13064" width="13.5" style="67" customWidth="1"/>
    <col min="13065" max="13065" width="4.58203125" style="67" customWidth="1"/>
    <col min="13066" max="13066" width="10.75" style="67" customWidth="1"/>
    <col min="13067" max="13067" width="3.25" style="67" customWidth="1"/>
    <col min="13068" max="13068" width="12.5" style="67" customWidth="1"/>
    <col min="13069" max="13069" width="13.58203125" style="67" customWidth="1"/>
    <col min="13070" max="13070" width="4.58203125" style="67" customWidth="1"/>
    <col min="13071" max="13071" width="5.25" style="67" customWidth="1"/>
    <col min="13072" max="13072" width="6" style="67" customWidth="1"/>
    <col min="13073" max="13073" width="7.08203125" style="67" customWidth="1"/>
    <col min="13074" max="13074" width="4.75" style="67" customWidth="1"/>
    <col min="13075" max="13075" width="6" style="67" customWidth="1"/>
    <col min="13076" max="13076" width="5.33203125" style="67" customWidth="1"/>
    <col min="13077" max="13077" width="3.5" style="67" customWidth="1"/>
    <col min="13078" max="13078" width="7.08203125" style="67" customWidth="1"/>
    <col min="13079" max="13079" width="3.83203125" style="67" customWidth="1"/>
    <col min="13080" max="13080" width="7.08203125" style="67" customWidth="1"/>
    <col min="13081" max="13081" width="5.08203125" style="67" customWidth="1"/>
    <col min="13082" max="13082" width="5.5" style="67" customWidth="1"/>
    <col min="13083" max="13083" width="5.58203125" style="67" customWidth="1"/>
    <col min="13084" max="13084" width="6.25" style="67" customWidth="1"/>
    <col min="13085" max="13085" width="3" style="67" customWidth="1"/>
    <col min="13086" max="13086" width="4.83203125" style="67" customWidth="1"/>
    <col min="13087" max="13087" width="4.58203125" style="67" customWidth="1"/>
    <col min="13088" max="13088" width="4" style="67" customWidth="1"/>
    <col min="13089" max="13089" width="5.75" style="67" customWidth="1"/>
    <col min="13090" max="13090" width="5.08203125" style="67" customWidth="1"/>
    <col min="13091" max="13091" width="3.25" style="67" customWidth="1"/>
    <col min="13092" max="13092" width="3.08203125" style="67" customWidth="1"/>
    <col min="13093" max="13313" width="9" style="67"/>
    <col min="13314" max="13314" width="3.75" style="67" customWidth="1"/>
    <col min="13315" max="13315" width="6.5" style="67" customWidth="1"/>
    <col min="13316" max="13316" width="2.33203125" style="67" customWidth="1"/>
    <col min="13317" max="13317" width="4.58203125" style="67" customWidth="1"/>
    <col min="13318" max="13318" width="5.5" style="67" customWidth="1"/>
    <col min="13319" max="13319" width="11.5" style="67" customWidth="1"/>
    <col min="13320" max="13320" width="13.5" style="67" customWidth="1"/>
    <col min="13321" max="13321" width="4.58203125" style="67" customWidth="1"/>
    <col min="13322" max="13322" width="10.75" style="67" customWidth="1"/>
    <col min="13323" max="13323" width="3.25" style="67" customWidth="1"/>
    <col min="13324" max="13324" width="12.5" style="67" customWidth="1"/>
    <col min="13325" max="13325" width="13.58203125" style="67" customWidth="1"/>
    <col min="13326" max="13326" width="4.58203125" style="67" customWidth="1"/>
    <col min="13327" max="13327" width="5.25" style="67" customWidth="1"/>
    <col min="13328" max="13328" width="6" style="67" customWidth="1"/>
    <col min="13329" max="13329" width="7.08203125" style="67" customWidth="1"/>
    <col min="13330" max="13330" width="4.75" style="67" customWidth="1"/>
    <col min="13331" max="13331" width="6" style="67" customWidth="1"/>
    <col min="13332" max="13332" width="5.33203125" style="67" customWidth="1"/>
    <col min="13333" max="13333" width="3.5" style="67" customWidth="1"/>
    <col min="13334" max="13334" width="7.08203125" style="67" customWidth="1"/>
    <col min="13335" max="13335" width="3.83203125" style="67" customWidth="1"/>
    <col min="13336" max="13336" width="7.08203125" style="67" customWidth="1"/>
    <col min="13337" max="13337" width="5.08203125" style="67" customWidth="1"/>
    <col min="13338" max="13338" width="5.5" style="67" customWidth="1"/>
    <col min="13339" max="13339" width="5.58203125" style="67" customWidth="1"/>
    <col min="13340" max="13340" width="6.25" style="67" customWidth="1"/>
    <col min="13341" max="13341" width="3" style="67" customWidth="1"/>
    <col min="13342" max="13342" width="4.83203125" style="67" customWidth="1"/>
    <col min="13343" max="13343" width="4.58203125" style="67" customWidth="1"/>
    <col min="13344" max="13344" width="4" style="67" customWidth="1"/>
    <col min="13345" max="13345" width="5.75" style="67" customWidth="1"/>
    <col min="13346" max="13346" width="5.08203125" style="67" customWidth="1"/>
    <col min="13347" max="13347" width="3.25" style="67" customWidth="1"/>
    <col min="13348" max="13348" width="3.08203125" style="67" customWidth="1"/>
    <col min="13349" max="13569" width="4.58203125" style="67"/>
    <col min="13570" max="13570" width="3.75" style="67" customWidth="1"/>
    <col min="13571" max="13571" width="6.5" style="67" customWidth="1"/>
    <col min="13572" max="13572" width="2.33203125" style="67" customWidth="1"/>
    <col min="13573" max="13573" width="4.58203125" style="67" customWidth="1"/>
    <col min="13574" max="13574" width="5.5" style="67" customWidth="1"/>
    <col min="13575" max="13575" width="11.5" style="67" customWidth="1"/>
    <col min="13576" max="13576" width="13.5" style="67" customWidth="1"/>
    <col min="13577" max="13577" width="4.58203125" style="67" customWidth="1"/>
    <col min="13578" max="13578" width="10.75" style="67" customWidth="1"/>
    <col min="13579" max="13579" width="3.25" style="67" customWidth="1"/>
    <col min="13580" max="13580" width="12.5" style="67" customWidth="1"/>
    <col min="13581" max="13581" width="13.58203125" style="67" customWidth="1"/>
    <col min="13582" max="13582" width="4.58203125" style="67" customWidth="1"/>
    <col min="13583" max="13583" width="5.25" style="67" customWidth="1"/>
    <col min="13584" max="13584" width="6" style="67" customWidth="1"/>
    <col min="13585" max="13585" width="7.08203125" style="67" customWidth="1"/>
    <col min="13586" max="13586" width="4.75" style="67" customWidth="1"/>
    <col min="13587" max="13587" width="6" style="67" customWidth="1"/>
    <col min="13588" max="13588" width="5.33203125" style="67" customWidth="1"/>
    <col min="13589" max="13589" width="3.5" style="67" customWidth="1"/>
    <col min="13590" max="13590" width="7.08203125" style="67" customWidth="1"/>
    <col min="13591" max="13591" width="3.83203125" style="67" customWidth="1"/>
    <col min="13592" max="13592" width="7.08203125" style="67" customWidth="1"/>
    <col min="13593" max="13593" width="5.08203125" style="67" customWidth="1"/>
    <col min="13594" max="13594" width="5.5" style="67" customWidth="1"/>
    <col min="13595" max="13595" width="5.58203125" style="67" customWidth="1"/>
    <col min="13596" max="13596" width="6.25" style="67" customWidth="1"/>
    <col min="13597" max="13597" width="3" style="67" customWidth="1"/>
    <col min="13598" max="13598" width="4.83203125" style="67" customWidth="1"/>
    <col min="13599" max="13599" width="4.58203125" style="67" customWidth="1"/>
    <col min="13600" max="13600" width="4" style="67" customWidth="1"/>
    <col min="13601" max="13601" width="5.75" style="67" customWidth="1"/>
    <col min="13602" max="13602" width="5.08203125" style="67" customWidth="1"/>
    <col min="13603" max="13603" width="3.25" style="67" customWidth="1"/>
    <col min="13604" max="13604" width="3.08203125" style="67" customWidth="1"/>
    <col min="13605" max="13825" width="4.58203125" style="67"/>
    <col min="13826" max="13826" width="3.75" style="67" customWidth="1"/>
    <col min="13827" max="13827" width="6.5" style="67" customWidth="1"/>
    <col min="13828" max="13828" width="2.33203125" style="67" customWidth="1"/>
    <col min="13829" max="13829" width="4.58203125" style="67" customWidth="1"/>
    <col min="13830" max="13830" width="5.5" style="67" customWidth="1"/>
    <col min="13831" max="13831" width="11.5" style="67" customWidth="1"/>
    <col min="13832" max="13832" width="13.5" style="67" customWidth="1"/>
    <col min="13833" max="13833" width="4.58203125" style="67" customWidth="1"/>
    <col min="13834" max="13834" width="10.75" style="67" customWidth="1"/>
    <col min="13835" max="13835" width="3.25" style="67" customWidth="1"/>
    <col min="13836" max="13836" width="12.5" style="67" customWidth="1"/>
    <col min="13837" max="13837" width="13.58203125" style="67" customWidth="1"/>
    <col min="13838" max="13838" width="4.58203125" style="67" customWidth="1"/>
    <col min="13839" max="13839" width="5.25" style="67" customWidth="1"/>
    <col min="13840" max="13840" width="6" style="67" customWidth="1"/>
    <col min="13841" max="13841" width="7.08203125" style="67" customWidth="1"/>
    <col min="13842" max="13842" width="4.75" style="67" customWidth="1"/>
    <col min="13843" max="13843" width="6" style="67" customWidth="1"/>
    <col min="13844" max="13844" width="5.33203125" style="67" customWidth="1"/>
    <col min="13845" max="13845" width="3.5" style="67" customWidth="1"/>
    <col min="13846" max="13846" width="7.08203125" style="67" customWidth="1"/>
    <col min="13847" max="13847" width="3.83203125" style="67" customWidth="1"/>
    <col min="13848" max="13848" width="7.08203125" style="67" customWidth="1"/>
    <col min="13849" max="13849" width="5.08203125" style="67" customWidth="1"/>
    <col min="13850" max="13850" width="5.5" style="67" customWidth="1"/>
    <col min="13851" max="13851" width="5.58203125" style="67" customWidth="1"/>
    <col min="13852" max="13852" width="6.25" style="67" customWidth="1"/>
    <col min="13853" max="13853" width="3" style="67" customWidth="1"/>
    <col min="13854" max="13854" width="4.83203125" style="67" customWidth="1"/>
    <col min="13855" max="13855" width="4.58203125" style="67" customWidth="1"/>
    <col min="13856" max="13856" width="4" style="67" customWidth="1"/>
    <col min="13857" max="13857" width="5.75" style="67" customWidth="1"/>
    <col min="13858" max="13858" width="5.08203125" style="67" customWidth="1"/>
    <col min="13859" max="13859" width="3.25" style="67" customWidth="1"/>
    <col min="13860" max="13860" width="3.08203125" style="67" customWidth="1"/>
    <col min="13861" max="14081" width="4.58203125" style="67"/>
    <col min="14082" max="14082" width="3.75" style="67" customWidth="1"/>
    <col min="14083" max="14083" width="6.5" style="67" customWidth="1"/>
    <col min="14084" max="14084" width="2.33203125" style="67" customWidth="1"/>
    <col min="14085" max="14085" width="4.58203125" style="67" customWidth="1"/>
    <col min="14086" max="14086" width="5.5" style="67" customWidth="1"/>
    <col min="14087" max="14087" width="11.5" style="67" customWidth="1"/>
    <col min="14088" max="14088" width="13.5" style="67" customWidth="1"/>
    <col min="14089" max="14089" width="4.58203125" style="67" customWidth="1"/>
    <col min="14090" max="14090" width="10.75" style="67" customWidth="1"/>
    <col min="14091" max="14091" width="3.25" style="67" customWidth="1"/>
    <col min="14092" max="14092" width="12.5" style="67" customWidth="1"/>
    <col min="14093" max="14093" width="13.58203125" style="67" customWidth="1"/>
    <col min="14094" max="14094" width="4.58203125" style="67" customWidth="1"/>
    <col min="14095" max="14095" width="5.25" style="67" customWidth="1"/>
    <col min="14096" max="14096" width="6" style="67" customWidth="1"/>
    <col min="14097" max="14097" width="7.08203125" style="67" customWidth="1"/>
    <col min="14098" max="14098" width="4.75" style="67" customWidth="1"/>
    <col min="14099" max="14099" width="6" style="67" customWidth="1"/>
    <col min="14100" max="14100" width="5.33203125" style="67" customWidth="1"/>
    <col min="14101" max="14101" width="3.5" style="67" customWidth="1"/>
    <col min="14102" max="14102" width="7.08203125" style="67" customWidth="1"/>
    <col min="14103" max="14103" width="3.83203125" style="67" customWidth="1"/>
    <col min="14104" max="14104" width="7.08203125" style="67" customWidth="1"/>
    <col min="14105" max="14105" width="5.08203125" style="67" customWidth="1"/>
    <col min="14106" max="14106" width="5.5" style="67" customWidth="1"/>
    <col min="14107" max="14107" width="5.58203125" style="67" customWidth="1"/>
    <col min="14108" max="14108" width="6.25" style="67" customWidth="1"/>
    <col min="14109" max="14109" width="3" style="67" customWidth="1"/>
    <col min="14110" max="14110" width="4.83203125" style="67" customWidth="1"/>
    <col min="14111" max="14111" width="4.58203125" style="67" customWidth="1"/>
    <col min="14112" max="14112" width="4" style="67" customWidth="1"/>
    <col min="14113" max="14113" width="5.75" style="67" customWidth="1"/>
    <col min="14114" max="14114" width="5.08203125" style="67" customWidth="1"/>
    <col min="14115" max="14115" width="3.25" style="67" customWidth="1"/>
    <col min="14116" max="14116" width="3.08203125" style="67" customWidth="1"/>
    <col min="14117" max="14337" width="9" style="67"/>
    <col min="14338" max="14338" width="3.75" style="67" customWidth="1"/>
    <col min="14339" max="14339" width="6.5" style="67" customWidth="1"/>
    <col min="14340" max="14340" width="2.33203125" style="67" customWidth="1"/>
    <col min="14341" max="14341" width="4.58203125" style="67" customWidth="1"/>
    <col min="14342" max="14342" width="5.5" style="67" customWidth="1"/>
    <col min="14343" max="14343" width="11.5" style="67" customWidth="1"/>
    <col min="14344" max="14344" width="13.5" style="67" customWidth="1"/>
    <col min="14345" max="14345" width="4.58203125" style="67" customWidth="1"/>
    <col min="14346" max="14346" width="10.75" style="67" customWidth="1"/>
    <col min="14347" max="14347" width="3.25" style="67" customWidth="1"/>
    <col min="14348" max="14348" width="12.5" style="67" customWidth="1"/>
    <col min="14349" max="14349" width="13.58203125" style="67" customWidth="1"/>
    <col min="14350" max="14350" width="4.58203125" style="67" customWidth="1"/>
    <col min="14351" max="14351" width="5.25" style="67" customWidth="1"/>
    <col min="14352" max="14352" width="6" style="67" customWidth="1"/>
    <col min="14353" max="14353" width="7.08203125" style="67" customWidth="1"/>
    <col min="14354" max="14354" width="4.75" style="67" customWidth="1"/>
    <col min="14355" max="14355" width="6" style="67" customWidth="1"/>
    <col min="14356" max="14356" width="5.33203125" style="67" customWidth="1"/>
    <col min="14357" max="14357" width="3.5" style="67" customWidth="1"/>
    <col min="14358" max="14358" width="7.08203125" style="67" customWidth="1"/>
    <col min="14359" max="14359" width="3.83203125" style="67" customWidth="1"/>
    <col min="14360" max="14360" width="7.08203125" style="67" customWidth="1"/>
    <col min="14361" max="14361" width="5.08203125" style="67" customWidth="1"/>
    <col min="14362" max="14362" width="5.5" style="67" customWidth="1"/>
    <col min="14363" max="14363" width="5.58203125" style="67" customWidth="1"/>
    <col min="14364" max="14364" width="6.25" style="67" customWidth="1"/>
    <col min="14365" max="14365" width="3" style="67" customWidth="1"/>
    <col min="14366" max="14366" width="4.83203125" style="67" customWidth="1"/>
    <col min="14367" max="14367" width="4.58203125" style="67" customWidth="1"/>
    <col min="14368" max="14368" width="4" style="67" customWidth="1"/>
    <col min="14369" max="14369" width="5.75" style="67" customWidth="1"/>
    <col min="14370" max="14370" width="5.08203125" style="67" customWidth="1"/>
    <col min="14371" max="14371" width="3.25" style="67" customWidth="1"/>
    <col min="14372" max="14372" width="3.08203125" style="67" customWidth="1"/>
    <col min="14373" max="14593" width="4.58203125" style="67"/>
    <col min="14594" max="14594" width="3.75" style="67" customWidth="1"/>
    <col min="14595" max="14595" width="6.5" style="67" customWidth="1"/>
    <col min="14596" max="14596" width="2.33203125" style="67" customWidth="1"/>
    <col min="14597" max="14597" width="4.58203125" style="67" customWidth="1"/>
    <col min="14598" max="14598" width="5.5" style="67" customWidth="1"/>
    <col min="14599" max="14599" width="11.5" style="67" customWidth="1"/>
    <col min="14600" max="14600" width="13.5" style="67" customWidth="1"/>
    <col min="14601" max="14601" width="4.58203125" style="67" customWidth="1"/>
    <col min="14602" max="14602" width="10.75" style="67" customWidth="1"/>
    <col min="14603" max="14603" width="3.25" style="67" customWidth="1"/>
    <col min="14604" max="14604" width="12.5" style="67" customWidth="1"/>
    <col min="14605" max="14605" width="13.58203125" style="67" customWidth="1"/>
    <col min="14606" max="14606" width="4.58203125" style="67" customWidth="1"/>
    <col min="14607" max="14607" width="5.25" style="67" customWidth="1"/>
    <col min="14608" max="14608" width="6" style="67" customWidth="1"/>
    <col min="14609" max="14609" width="7.08203125" style="67" customWidth="1"/>
    <col min="14610" max="14610" width="4.75" style="67" customWidth="1"/>
    <col min="14611" max="14611" width="6" style="67" customWidth="1"/>
    <col min="14612" max="14612" width="5.33203125" style="67" customWidth="1"/>
    <col min="14613" max="14613" width="3.5" style="67" customWidth="1"/>
    <col min="14614" max="14614" width="7.08203125" style="67" customWidth="1"/>
    <col min="14615" max="14615" width="3.83203125" style="67" customWidth="1"/>
    <col min="14616" max="14616" width="7.08203125" style="67" customWidth="1"/>
    <col min="14617" max="14617" width="5.08203125" style="67" customWidth="1"/>
    <col min="14618" max="14618" width="5.5" style="67" customWidth="1"/>
    <col min="14619" max="14619" width="5.58203125" style="67" customWidth="1"/>
    <col min="14620" max="14620" width="6.25" style="67" customWidth="1"/>
    <col min="14621" max="14621" width="3" style="67" customWidth="1"/>
    <col min="14622" max="14622" width="4.83203125" style="67" customWidth="1"/>
    <col min="14623" max="14623" width="4.58203125" style="67" customWidth="1"/>
    <col min="14624" max="14624" width="4" style="67" customWidth="1"/>
    <col min="14625" max="14625" width="5.75" style="67" customWidth="1"/>
    <col min="14626" max="14626" width="5.08203125" style="67" customWidth="1"/>
    <col min="14627" max="14627" width="3.25" style="67" customWidth="1"/>
    <col min="14628" max="14628" width="3.08203125" style="67" customWidth="1"/>
    <col min="14629" max="14849" width="4.58203125" style="67"/>
    <col min="14850" max="14850" width="3.75" style="67" customWidth="1"/>
    <col min="14851" max="14851" width="6.5" style="67" customWidth="1"/>
    <col min="14852" max="14852" width="2.33203125" style="67" customWidth="1"/>
    <col min="14853" max="14853" width="4.58203125" style="67" customWidth="1"/>
    <col min="14854" max="14854" width="5.5" style="67" customWidth="1"/>
    <col min="14855" max="14855" width="11.5" style="67" customWidth="1"/>
    <col min="14856" max="14856" width="13.5" style="67" customWidth="1"/>
    <col min="14857" max="14857" width="4.58203125" style="67" customWidth="1"/>
    <col min="14858" max="14858" width="10.75" style="67" customWidth="1"/>
    <col min="14859" max="14859" width="3.25" style="67" customWidth="1"/>
    <col min="14860" max="14860" width="12.5" style="67" customWidth="1"/>
    <col min="14861" max="14861" width="13.58203125" style="67" customWidth="1"/>
    <col min="14862" max="14862" width="4.58203125" style="67" customWidth="1"/>
    <col min="14863" max="14863" width="5.25" style="67" customWidth="1"/>
    <col min="14864" max="14864" width="6" style="67" customWidth="1"/>
    <col min="14865" max="14865" width="7.08203125" style="67" customWidth="1"/>
    <col min="14866" max="14866" width="4.75" style="67" customWidth="1"/>
    <col min="14867" max="14867" width="6" style="67" customWidth="1"/>
    <col min="14868" max="14868" width="5.33203125" style="67" customWidth="1"/>
    <col min="14869" max="14869" width="3.5" style="67" customWidth="1"/>
    <col min="14870" max="14870" width="7.08203125" style="67" customWidth="1"/>
    <col min="14871" max="14871" width="3.83203125" style="67" customWidth="1"/>
    <col min="14872" max="14872" width="7.08203125" style="67" customWidth="1"/>
    <col min="14873" max="14873" width="5.08203125" style="67" customWidth="1"/>
    <col min="14874" max="14874" width="5.5" style="67" customWidth="1"/>
    <col min="14875" max="14875" width="5.58203125" style="67" customWidth="1"/>
    <col min="14876" max="14876" width="6.25" style="67" customWidth="1"/>
    <col min="14877" max="14877" width="3" style="67" customWidth="1"/>
    <col min="14878" max="14878" width="4.83203125" style="67" customWidth="1"/>
    <col min="14879" max="14879" width="4.58203125" style="67" customWidth="1"/>
    <col min="14880" max="14880" width="4" style="67" customWidth="1"/>
    <col min="14881" max="14881" width="5.75" style="67" customWidth="1"/>
    <col min="14882" max="14882" width="5.08203125" style="67" customWidth="1"/>
    <col min="14883" max="14883" width="3.25" style="67" customWidth="1"/>
    <col min="14884" max="14884" width="3.08203125" style="67" customWidth="1"/>
    <col min="14885" max="15105" width="4.58203125" style="67"/>
    <col min="15106" max="15106" width="3.75" style="67" customWidth="1"/>
    <col min="15107" max="15107" width="6.5" style="67" customWidth="1"/>
    <col min="15108" max="15108" width="2.33203125" style="67" customWidth="1"/>
    <col min="15109" max="15109" width="4.58203125" style="67" customWidth="1"/>
    <col min="15110" max="15110" width="5.5" style="67" customWidth="1"/>
    <col min="15111" max="15111" width="11.5" style="67" customWidth="1"/>
    <col min="15112" max="15112" width="13.5" style="67" customWidth="1"/>
    <col min="15113" max="15113" width="4.58203125" style="67" customWidth="1"/>
    <col min="15114" max="15114" width="10.75" style="67" customWidth="1"/>
    <col min="15115" max="15115" width="3.25" style="67" customWidth="1"/>
    <col min="15116" max="15116" width="12.5" style="67" customWidth="1"/>
    <col min="15117" max="15117" width="13.58203125" style="67" customWidth="1"/>
    <col min="15118" max="15118" width="4.58203125" style="67" customWidth="1"/>
    <col min="15119" max="15119" width="5.25" style="67" customWidth="1"/>
    <col min="15120" max="15120" width="6" style="67" customWidth="1"/>
    <col min="15121" max="15121" width="7.08203125" style="67" customWidth="1"/>
    <col min="15122" max="15122" width="4.75" style="67" customWidth="1"/>
    <col min="15123" max="15123" width="6" style="67" customWidth="1"/>
    <col min="15124" max="15124" width="5.33203125" style="67" customWidth="1"/>
    <col min="15125" max="15125" width="3.5" style="67" customWidth="1"/>
    <col min="15126" max="15126" width="7.08203125" style="67" customWidth="1"/>
    <col min="15127" max="15127" width="3.83203125" style="67" customWidth="1"/>
    <col min="15128" max="15128" width="7.08203125" style="67" customWidth="1"/>
    <col min="15129" max="15129" width="5.08203125" style="67" customWidth="1"/>
    <col min="15130" max="15130" width="5.5" style="67" customWidth="1"/>
    <col min="15131" max="15131" width="5.58203125" style="67" customWidth="1"/>
    <col min="15132" max="15132" width="6.25" style="67" customWidth="1"/>
    <col min="15133" max="15133" width="3" style="67" customWidth="1"/>
    <col min="15134" max="15134" width="4.83203125" style="67" customWidth="1"/>
    <col min="15135" max="15135" width="4.58203125" style="67" customWidth="1"/>
    <col min="15136" max="15136" width="4" style="67" customWidth="1"/>
    <col min="15137" max="15137" width="5.75" style="67" customWidth="1"/>
    <col min="15138" max="15138" width="5.08203125" style="67" customWidth="1"/>
    <col min="15139" max="15139" width="3.25" style="67" customWidth="1"/>
    <col min="15140" max="15140" width="3.08203125" style="67" customWidth="1"/>
    <col min="15141" max="15361" width="9" style="67"/>
    <col min="15362" max="15362" width="3.75" style="67" customWidth="1"/>
    <col min="15363" max="15363" width="6.5" style="67" customWidth="1"/>
    <col min="15364" max="15364" width="2.33203125" style="67" customWidth="1"/>
    <col min="15365" max="15365" width="4.58203125" style="67" customWidth="1"/>
    <col min="15366" max="15366" width="5.5" style="67" customWidth="1"/>
    <col min="15367" max="15367" width="11.5" style="67" customWidth="1"/>
    <col min="15368" max="15368" width="13.5" style="67" customWidth="1"/>
    <col min="15369" max="15369" width="4.58203125" style="67" customWidth="1"/>
    <col min="15370" max="15370" width="10.75" style="67" customWidth="1"/>
    <col min="15371" max="15371" width="3.25" style="67" customWidth="1"/>
    <col min="15372" max="15372" width="12.5" style="67" customWidth="1"/>
    <col min="15373" max="15373" width="13.58203125" style="67" customWidth="1"/>
    <col min="15374" max="15374" width="4.58203125" style="67" customWidth="1"/>
    <col min="15375" max="15375" width="5.25" style="67" customWidth="1"/>
    <col min="15376" max="15376" width="6" style="67" customWidth="1"/>
    <col min="15377" max="15377" width="7.08203125" style="67" customWidth="1"/>
    <col min="15378" max="15378" width="4.75" style="67" customWidth="1"/>
    <col min="15379" max="15379" width="6" style="67" customWidth="1"/>
    <col min="15380" max="15380" width="5.33203125" style="67" customWidth="1"/>
    <col min="15381" max="15381" width="3.5" style="67" customWidth="1"/>
    <col min="15382" max="15382" width="7.08203125" style="67" customWidth="1"/>
    <col min="15383" max="15383" width="3.83203125" style="67" customWidth="1"/>
    <col min="15384" max="15384" width="7.08203125" style="67" customWidth="1"/>
    <col min="15385" max="15385" width="5.08203125" style="67" customWidth="1"/>
    <col min="15386" max="15386" width="5.5" style="67" customWidth="1"/>
    <col min="15387" max="15387" width="5.58203125" style="67" customWidth="1"/>
    <col min="15388" max="15388" width="6.25" style="67" customWidth="1"/>
    <col min="15389" max="15389" width="3" style="67" customWidth="1"/>
    <col min="15390" max="15390" width="4.83203125" style="67" customWidth="1"/>
    <col min="15391" max="15391" width="4.58203125" style="67" customWidth="1"/>
    <col min="15392" max="15392" width="4" style="67" customWidth="1"/>
    <col min="15393" max="15393" width="5.75" style="67" customWidth="1"/>
    <col min="15394" max="15394" width="5.08203125" style="67" customWidth="1"/>
    <col min="15395" max="15395" width="3.25" style="67" customWidth="1"/>
    <col min="15396" max="15396" width="3.08203125" style="67" customWidth="1"/>
    <col min="15397" max="15617" width="4.58203125" style="67"/>
    <col min="15618" max="15618" width="3.75" style="67" customWidth="1"/>
    <col min="15619" max="15619" width="6.5" style="67" customWidth="1"/>
    <col min="15620" max="15620" width="2.33203125" style="67" customWidth="1"/>
    <col min="15621" max="15621" width="4.58203125" style="67" customWidth="1"/>
    <col min="15622" max="15622" width="5.5" style="67" customWidth="1"/>
    <col min="15623" max="15623" width="11.5" style="67" customWidth="1"/>
    <col min="15624" max="15624" width="13.5" style="67" customWidth="1"/>
    <col min="15625" max="15625" width="4.58203125" style="67" customWidth="1"/>
    <col min="15626" max="15626" width="10.75" style="67" customWidth="1"/>
    <col min="15627" max="15627" width="3.25" style="67" customWidth="1"/>
    <col min="15628" max="15628" width="12.5" style="67" customWidth="1"/>
    <col min="15629" max="15629" width="13.58203125" style="67" customWidth="1"/>
    <col min="15630" max="15630" width="4.58203125" style="67" customWidth="1"/>
    <col min="15631" max="15631" width="5.25" style="67" customWidth="1"/>
    <col min="15632" max="15632" width="6" style="67" customWidth="1"/>
    <col min="15633" max="15633" width="7.08203125" style="67" customWidth="1"/>
    <col min="15634" max="15634" width="4.75" style="67" customWidth="1"/>
    <col min="15635" max="15635" width="6" style="67" customWidth="1"/>
    <col min="15636" max="15636" width="5.33203125" style="67" customWidth="1"/>
    <col min="15637" max="15637" width="3.5" style="67" customWidth="1"/>
    <col min="15638" max="15638" width="7.08203125" style="67" customWidth="1"/>
    <col min="15639" max="15639" width="3.83203125" style="67" customWidth="1"/>
    <col min="15640" max="15640" width="7.08203125" style="67" customWidth="1"/>
    <col min="15641" max="15641" width="5.08203125" style="67" customWidth="1"/>
    <col min="15642" max="15642" width="5.5" style="67" customWidth="1"/>
    <col min="15643" max="15643" width="5.58203125" style="67" customWidth="1"/>
    <col min="15644" max="15644" width="6.25" style="67" customWidth="1"/>
    <col min="15645" max="15645" width="3" style="67" customWidth="1"/>
    <col min="15646" max="15646" width="4.83203125" style="67" customWidth="1"/>
    <col min="15647" max="15647" width="4.58203125" style="67" customWidth="1"/>
    <col min="15648" max="15648" width="4" style="67" customWidth="1"/>
    <col min="15649" max="15649" width="5.75" style="67" customWidth="1"/>
    <col min="15650" max="15650" width="5.08203125" style="67" customWidth="1"/>
    <col min="15651" max="15651" width="3.25" style="67" customWidth="1"/>
    <col min="15652" max="15652" width="3.08203125" style="67" customWidth="1"/>
    <col min="15653" max="15873" width="4.58203125" style="67"/>
    <col min="15874" max="15874" width="3.75" style="67" customWidth="1"/>
    <col min="15875" max="15875" width="6.5" style="67" customWidth="1"/>
    <col min="15876" max="15876" width="2.33203125" style="67" customWidth="1"/>
    <col min="15877" max="15877" width="4.58203125" style="67" customWidth="1"/>
    <col min="15878" max="15878" width="5.5" style="67" customWidth="1"/>
    <col min="15879" max="15879" width="11.5" style="67" customWidth="1"/>
    <col min="15880" max="15880" width="13.5" style="67" customWidth="1"/>
    <col min="15881" max="15881" width="4.58203125" style="67" customWidth="1"/>
    <col min="15882" max="15882" width="10.75" style="67" customWidth="1"/>
    <col min="15883" max="15883" width="3.25" style="67" customWidth="1"/>
    <col min="15884" max="15884" width="12.5" style="67" customWidth="1"/>
    <col min="15885" max="15885" width="13.58203125" style="67" customWidth="1"/>
    <col min="15886" max="15886" width="4.58203125" style="67" customWidth="1"/>
    <col min="15887" max="15887" width="5.25" style="67" customWidth="1"/>
    <col min="15888" max="15888" width="6" style="67" customWidth="1"/>
    <col min="15889" max="15889" width="7.08203125" style="67" customWidth="1"/>
    <col min="15890" max="15890" width="4.75" style="67" customWidth="1"/>
    <col min="15891" max="15891" width="6" style="67" customWidth="1"/>
    <col min="15892" max="15892" width="5.33203125" style="67" customWidth="1"/>
    <col min="15893" max="15893" width="3.5" style="67" customWidth="1"/>
    <col min="15894" max="15894" width="7.08203125" style="67" customWidth="1"/>
    <col min="15895" max="15895" width="3.83203125" style="67" customWidth="1"/>
    <col min="15896" max="15896" width="7.08203125" style="67" customWidth="1"/>
    <col min="15897" max="15897" width="5.08203125" style="67" customWidth="1"/>
    <col min="15898" max="15898" width="5.5" style="67" customWidth="1"/>
    <col min="15899" max="15899" width="5.58203125" style="67" customWidth="1"/>
    <col min="15900" max="15900" width="6.25" style="67" customWidth="1"/>
    <col min="15901" max="15901" width="3" style="67" customWidth="1"/>
    <col min="15902" max="15902" width="4.83203125" style="67" customWidth="1"/>
    <col min="15903" max="15903" width="4.58203125" style="67" customWidth="1"/>
    <col min="15904" max="15904" width="4" style="67" customWidth="1"/>
    <col min="15905" max="15905" width="5.75" style="67" customWidth="1"/>
    <col min="15906" max="15906" width="5.08203125" style="67" customWidth="1"/>
    <col min="15907" max="15907" width="3.25" style="67" customWidth="1"/>
    <col min="15908" max="15908" width="3.08203125" style="67" customWidth="1"/>
    <col min="15909" max="16129" width="4.58203125" style="67"/>
    <col min="16130" max="16130" width="3.75" style="67" customWidth="1"/>
    <col min="16131" max="16131" width="6.5" style="67" customWidth="1"/>
    <col min="16132" max="16132" width="2.33203125" style="67" customWidth="1"/>
    <col min="16133" max="16133" width="4.58203125" style="67" customWidth="1"/>
    <col min="16134" max="16134" width="5.5" style="67" customWidth="1"/>
    <col min="16135" max="16135" width="11.5" style="67" customWidth="1"/>
    <col min="16136" max="16136" width="13.5" style="67" customWidth="1"/>
    <col min="16137" max="16137" width="4.58203125" style="67" customWidth="1"/>
    <col min="16138" max="16138" width="10.75" style="67" customWidth="1"/>
    <col min="16139" max="16139" width="3.25" style="67" customWidth="1"/>
    <col min="16140" max="16140" width="12.5" style="67" customWidth="1"/>
    <col min="16141" max="16141" width="13.58203125" style="67" customWidth="1"/>
    <col min="16142" max="16142" width="4.58203125" style="67" customWidth="1"/>
    <col min="16143" max="16143" width="5.25" style="67" customWidth="1"/>
    <col min="16144" max="16144" width="6" style="67" customWidth="1"/>
    <col min="16145" max="16145" width="7.08203125" style="67" customWidth="1"/>
    <col min="16146" max="16146" width="4.75" style="67" customWidth="1"/>
    <col min="16147" max="16147" width="6" style="67" customWidth="1"/>
    <col min="16148" max="16148" width="5.33203125" style="67" customWidth="1"/>
    <col min="16149" max="16149" width="3.5" style="67" customWidth="1"/>
    <col min="16150" max="16150" width="7.08203125" style="67" customWidth="1"/>
    <col min="16151" max="16151" width="3.83203125" style="67" customWidth="1"/>
    <col min="16152" max="16152" width="7.08203125" style="67" customWidth="1"/>
    <col min="16153" max="16153" width="5.08203125" style="67" customWidth="1"/>
    <col min="16154" max="16154" width="5.5" style="67" customWidth="1"/>
    <col min="16155" max="16155" width="5.58203125" style="67" customWidth="1"/>
    <col min="16156" max="16156" width="6.25" style="67" customWidth="1"/>
    <col min="16157" max="16157" width="3" style="67" customWidth="1"/>
    <col min="16158" max="16158" width="4.83203125" style="67" customWidth="1"/>
    <col min="16159" max="16159" width="4.58203125" style="67" customWidth="1"/>
    <col min="16160" max="16160" width="4" style="67" customWidth="1"/>
    <col min="16161" max="16161" width="5.75" style="67" customWidth="1"/>
    <col min="16162" max="16162" width="5.08203125" style="67" customWidth="1"/>
    <col min="16163" max="16163" width="3.25" style="67" customWidth="1"/>
    <col min="16164" max="16164" width="3.08203125" style="67" customWidth="1"/>
    <col min="16165" max="16384" width="9" style="67"/>
  </cols>
  <sheetData>
    <row r="1" spans="1:37" ht="42" customHeight="1" x14ac:dyDescent="0.3">
      <c r="B1" s="1806" t="s">
        <v>2271</v>
      </c>
      <c r="C1" s="1806"/>
      <c r="D1" s="1806"/>
      <c r="E1" s="1806"/>
      <c r="F1" s="1806"/>
      <c r="G1" s="1806"/>
      <c r="H1" s="1806"/>
      <c r="I1" s="1806"/>
      <c r="J1" s="1806"/>
      <c r="K1" s="1806"/>
      <c r="L1" s="1806"/>
      <c r="M1" s="1806"/>
      <c r="N1" s="1806"/>
      <c r="O1" s="1806"/>
      <c r="P1" s="1806"/>
      <c r="Q1" s="1806"/>
      <c r="R1" s="1806"/>
      <c r="S1" s="1806"/>
      <c r="T1" s="1806"/>
      <c r="U1" s="1806"/>
      <c r="V1" s="1806"/>
      <c r="W1" s="1806"/>
      <c r="X1" s="1806"/>
      <c r="Y1" s="1806"/>
      <c r="Z1" s="1806"/>
      <c r="AA1" s="1806"/>
      <c r="AB1" s="1806"/>
      <c r="AC1" s="1806"/>
    </row>
    <row r="2" spans="1:37" ht="16.5" x14ac:dyDescent="0.35">
      <c r="B2" s="539" t="s">
        <v>113</v>
      </c>
      <c r="C2" s="1807" t="s">
        <v>1285</v>
      </c>
      <c r="D2" s="1807"/>
      <c r="E2" s="1807"/>
      <c r="F2" s="1807"/>
      <c r="G2" s="1807"/>
      <c r="H2" s="1807"/>
      <c r="I2" s="1807"/>
      <c r="J2" s="1807"/>
      <c r="K2" s="1807"/>
      <c r="L2" s="1807"/>
      <c r="M2" s="1807"/>
      <c r="N2" s="1807"/>
      <c r="O2" s="1807"/>
      <c r="P2" s="1807"/>
      <c r="Q2" s="1807"/>
      <c r="R2" s="1807"/>
      <c r="S2" s="1807"/>
      <c r="T2" s="1807"/>
      <c r="U2" s="1807"/>
      <c r="V2" s="1807"/>
      <c r="W2" s="1807"/>
      <c r="X2" s="1807"/>
      <c r="Y2" s="1807"/>
      <c r="Z2" s="1807"/>
      <c r="AA2" s="1807"/>
      <c r="AB2" s="1807"/>
      <c r="AC2" s="1807"/>
    </row>
    <row r="3" spans="1:37" ht="17" x14ac:dyDescent="0.3">
      <c r="B3" s="540" t="s">
        <v>113</v>
      </c>
      <c r="C3" s="1808" t="s">
        <v>2051</v>
      </c>
      <c r="D3" s="1808"/>
      <c r="E3" s="1808"/>
      <c r="F3" s="1808"/>
      <c r="G3" s="1808"/>
      <c r="H3" s="1808"/>
      <c r="I3" s="1808"/>
      <c r="J3" s="1808"/>
      <c r="K3" s="1808"/>
      <c r="L3" s="1808"/>
      <c r="M3" s="1808"/>
      <c r="N3" s="1808"/>
      <c r="O3" s="1808"/>
      <c r="P3" s="1808"/>
      <c r="Q3" s="1808"/>
      <c r="R3" s="1808"/>
      <c r="S3" s="1808"/>
      <c r="T3" s="1808"/>
      <c r="U3" s="1808"/>
      <c r="V3" s="1808"/>
      <c r="W3" s="1808"/>
      <c r="X3" s="1808"/>
      <c r="Y3" s="1808"/>
      <c r="Z3" s="1808"/>
      <c r="AA3" s="1808"/>
      <c r="AB3" s="1808"/>
      <c r="AC3" s="1808"/>
    </row>
    <row r="4" spans="1:37" ht="17" x14ac:dyDescent="0.3">
      <c r="B4" s="541" t="s">
        <v>113</v>
      </c>
      <c r="C4" s="1809" t="s">
        <v>1133</v>
      </c>
      <c r="D4" s="1809"/>
      <c r="E4" s="1809"/>
      <c r="F4" s="1809"/>
      <c r="G4" s="1809"/>
      <c r="H4" s="1809"/>
      <c r="I4" s="1809"/>
      <c r="J4" s="1809"/>
      <c r="K4" s="1809"/>
      <c r="L4" s="1809"/>
      <c r="M4" s="1809"/>
      <c r="N4" s="1809"/>
      <c r="O4" s="1809"/>
      <c r="P4" s="1809"/>
      <c r="Q4" s="1809"/>
      <c r="R4" s="1809"/>
      <c r="S4" s="1809"/>
      <c r="T4" s="1809"/>
      <c r="U4" s="1809"/>
      <c r="V4" s="1809"/>
      <c r="W4" s="1809"/>
      <c r="X4" s="1809"/>
      <c r="Y4" s="1809"/>
      <c r="Z4" s="1809"/>
      <c r="AA4" s="1809"/>
      <c r="AB4" s="1809"/>
      <c r="AC4" s="1809"/>
    </row>
    <row r="5" spans="1:37" ht="17" x14ac:dyDescent="0.3">
      <c r="B5" s="541" t="s">
        <v>113</v>
      </c>
      <c r="C5" s="1810" t="s">
        <v>2052</v>
      </c>
      <c r="D5" s="1810"/>
      <c r="E5" s="1810"/>
      <c r="F5" s="1810"/>
      <c r="G5" s="1810"/>
      <c r="H5" s="1810"/>
      <c r="I5" s="1810"/>
      <c r="J5" s="1810"/>
      <c r="K5" s="1810"/>
      <c r="L5" s="1810"/>
      <c r="M5" s="1810"/>
      <c r="N5" s="1810"/>
      <c r="O5" s="1810"/>
      <c r="P5" s="1810"/>
      <c r="Q5" s="1810"/>
      <c r="R5" s="1810"/>
      <c r="S5" s="1810"/>
      <c r="T5" s="1810"/>
      <c r="U5" s="1810"/>
      <c r="V5" s="1810"/>
      <c r="W5" s="1810"/>
      <c r="X5" s="1810"/>
      <c r="Y5" s="1810"/>
      <c r="Z5" s="1810"/>
      <c r="AA5" s="1810"/>
      <c r="AB5" s="1810"/>
      <c r="AC5" s="1810"/>
    </row>
    <row r="6" spans="1:37" ht="16.5" x14ac:dyDescent="0.3">
      <c r="B6" s="542" t="s">
        <v>113</v>
      </c>
      <c r="C6" s="1810" t="s">
        <v>1132</v>
      </c>
      <c r="D6" s="1810"/>
      <c r="E6" s="1810"/>
      <c r="F6" s="1810"/>
      <c r="G6" s="1810"/>
      <c r="H6" s="1810"/>
      <c r="I6" s="1810"/>
      <c r="J6" s="1810"/>
      <c r="K6" s="1810"/>
      <c r="L6" s="1810"/>
      <c r="M6" s="1810"/>
      <c r="N6" s="1810"/>
      <c r="O6" s="1810"/>
      <c r="P6" s="1810"/>
      <c r="Q6" s="1810"/>
      <c r="R6" s="1810"/>
      <c r="S6" s="1810"/>
      <c r="T6" s="1810"/>
      <c r="U6" s="1810"/>
      <c r="V6" s="1810"/>
      <c r="W6" s="1810"/>
      <c r="X6" s="1810"/>
      <c r="Y6" s="1810"/>
      <c r="Z6" s="1810"/>
      <c r="AA6" s="1810"/>
      <c r="AB6" s="1810"/>
      <c r="AC6" s="1810"/>
    </row>
    <row r="7" spans="1:37" ht="5.25" customHeight="1" x14ac:dyDescent="0.3">
      <c r="B7" s="537"/>
      <c r="C7" s="1811"/>
      <c r="D7" s="1811"/>
      <c r="E7" s="1811"/>
      <c r="F7" s="1811"/>
      <c r="G7" s="1811"/>
      <c r="H7" s="1811"/>
      <c r="I7" s="1811"/>
      <c r="J7" s="1811"/>
      <c r="K7" s="1811"/>
      <c r="L7" s="1811"/>
      <c r="M7" s="1811"/>
      <c r="N7" s="1811"/>
      <c r="O7" s="1811"/>
      <c r="P7" s="1811"/>
      <c r="Q7" s="1811"/>
      <c r="R7" s="1811"/>
      <c r="S7" s="1811"/>
      <c r="T7" s="1811"/>
      <c r="U7" s="1811"/>
      <c r="V7" s="1811"/>
      <c r="W7" s="1811"/>
      <c r="X7" s="1811"/>
      <c r="Y7" s="1811"/>
      <c r="Z7" s="1811"/>
      <c r="AA7" s="1811"/>
      <c r="AB7" s="1811"/>
      <c r="AC7" s="1811"/>
    </row>
    <row r="8" spans="1:37" ht="17.25" customHeight="1" thickBot="1" x14ac:dyDescent="0.35">
      <c r="A8" s="66"/>
      <c r="B8" s="215"/>
      <c r="C8" s="215"/>
      <c r="D8" s="215"/>
      <c r="E8" s="215"/>
      <c r="F8" s="215"/>
      <c r="G8" s="215"/>
      <c r="H8" s="215"/>
      <c r="I8" s="215"/>
      <c r="J8" s="215"/>
      <c r="K8" s="215"/>
      <c r="L8" s="538"/>
      <c r="M8" s="538"/>
      <c r="N8" s="538"/>
      <c r="O8" s="538"/>
      <c r="P8" s="538"/>
      <c r="Q8" s="538"/>
      <c r="R8" s="538"/>
      <c r="S8" s="538"/>
      <c r="T8" s="538"/>
      <c r="U8" s="538"/>
      <c r="V8" s="538"/>
      <c r="W8" s="538"/>
      <c r="X8" s="215"/>
      <c r="Y8" s="215"/>
      <c r="Z8" s="215"/>
      <c r="AA8" s="215"/>
      <c r="AB8" s="215"/>
      <c r="AC8" s="215"/>
      <c r="AK8" s="69"/>
    </row>
    <row r="9" spans="1:37" ht="15" customHeight="1" x14ac:dyDescent="0.3">
      <c r="A9" s="66"/>
      <c r="B9" s="215"/>
      <c r="C9" s="1815" t="s">
        <v>354</v>
      </c>
      <c r="D9" s="1815"/>
      <c r="E9" s="1815"/>
      <c r="F9" s="1815"/>
      <c r="G9" s="1815"/>
      <c r="H9" s="1815"/>
      <c r="I9" s="1815"/>
      <c r="J9" s="1815"/>
      <c r="K9" s="1815"/>
      <c r="L9" s="1815"/>
      <c r="M9" s="1815"/>
      <c r="N9" s="1815"/>
      <c r="O9" s="1815"/>
      <c r="P9" s="1815"/>
      <c r="Q9" s="1815"/>
      <c r="R9" s="1815"/>
      <c r="S9" s="1815"/>
      <c r="T9" s="1815"/>
      <c r="U9" s="1815"/>
      <c r="V9" s="1815"/>
      <c r="W9" s="1815"/>
      <c r="X9" s="1815"/>
      <c r="Y9" s="1815"/>
      <c r="Z9" s="1815"/>
      <c r="AA9" s="1815"/>
      <c r="AB9" s="1815"/>
      <c r="AC9" s="215"/>
      <c r="AK9" s="69"/>
    </row>
    <row r="10" spans="1:37" ht="15" customHeight="1" x14ac:dyDescent="0.3">
      <c r="A10" s="66"/>
      <c r="B10" s="215"/>
      <c r="C10" s="1816"/>
      <c r="D10" s="1816"/>
      <c r="E10" s="1816"/>
      <c r="F10" s="1816"/>
      <c r="G10" s="1816"/>
      <c r="H10" s="1816"/>
      <c r="I10" s="1816"/>
      <c r="J10" s="1816"/>
      <c r="K10" s="1816"/>
      <c r="L10" s="1816"/>
      <c r="M10" s="1816"/>
      <c r="N10" s="1816"/>
      <c r="O10" s="1816"/>
      <c r="P10" s="1816"/>
      <c r="Q10" s="1816"/>
      <c r="R10" s="1816"/>
      <c r="S10" s="1816"/>
      <c r="T10" s="1816"/>
      <c r="U10" s="1816"/>
      <c r="V10" s="1816"/>
      <c r="W10" s="1816"/>
      <c r="X10" s="1816"/>
      <c r="Y10" s="1816"/>
      <c r="Z10" s="1816"/>
      <c r="AA10" s="1816"/>
      <c r="AB10" s="1816"/>
      <c r="AC10" s="215"/>
      <c r="AK10" s="69"/>
    </row>
    <row r="11" spans="1:37" ht="21.75" customHeight="1" x14ac:dyDescent="0.35">
      <c r="A11" s="66"/>
      <c r="B11" s="215"/>
      <c r="C11" s="1812" t="s">
        <v>145</v>
      </c>
      <c r="D11" s="1812"/>
      <c r="E11" s="1812"/>
      <c r="F11" s="1812"/>
      <c r="G11" s="1812"/>
      <c r="H11" s="1812"/>
      <c r="I11" s="1812"/>
      <c r="J11" s="1812"/>
      <c r="K11" s="543" t="s">
        <v>8</v>
      </c>
      <c r="L11" s="667" t="s">
        <v>859</v>
      </c>
      <c r="M11" s="1818" t="str">
        <f>VLOOKUP(L11,ba,2,FALSE)</f>
        <v>KEMENTERIAN PENDIDIKAN DAN KEBUDAYAAN</v>
      </c>
      <c r="N11" s="1818"/>
      <c r="O11" s="1818"/>
      <c r="P11" s="1818"/>
      <c r="Q11" s="1818"/>
      <c r="R11" s="1818"/>
      <c r="S11" s="1818"/>
      <c r="T11" s="1818"/>
      <c r="U11" s="1818"/>
      <c r="V11" s="1818"/>
      <c r="W11" s="1818"/>
      <c r="X11" s="1818"/>
      <c r="Y11" s="1818"/>
      <c r="Z11" s="1818"/>
      <c r="AA11" s="1818"/>
      <c r="AB11" s="1818"/>
      <c r="AC11" s="538"/>
      <c r="AE11" s="70"/>
      <c r="AG11" s="70"/>
      <c r="AK11" s="69"/>
    </row>
    <row r="12" spans="1:37" ht="21.75" customHeight="1" x14ac:dyDescent="0.35">
      <c r="A12" s="66"/>
      <c r="B12" s="215"/>
      <c r="C12" s="1812" t="s">
        <v>147</v>
      </c>
      <c r="D12" s="1812"/>
      <c r="E12" s="1812"/>
      <c r="F12" s="1812"/>
      <c r="G12" s="1812"/>
      <c r="H12" s="1812"/>
      <c r="I12" s="1812"/>
      <c r="J12" s="1812"/>
      <c r="K12" s="543" t="s">
        <v>8</v>
      </c>
      <c r="L12" s="667" t="s">
        <v>1031</v>
      </c>
      <c r="M12" s="1818" t="str">
        <f>VLOOKUP(L12,eselon1,2,FALSE)</f>
        <v>DITJEN KEBUDAYAAN</v>
      </c>
      <c r="N12" s="1818"/>
      <c r="O12" s="1818"/>
      <c r="P12" s="1818"/>
      <c r="Q12" s="1818"/>
      <c r="R12" s="1818"/>
      <c r="S12" s="1818"/>
      <c r="T12" s="1818"/>
      <c r="U12" s="1818"/>
      <c r="V12" s="1818"/>
      <c r="W12" s="1818"/>
      <c r="X12" s="1818"/>
      <c r="Y12" s="1818"/>
      <c r="Z12" s="1818"/>
      <c r="AA12" s="1818"/>
      <c r="AB12" s="1818"/>
      <c r="AC12" s="538"/>
      <c r="AE12" s="70"/>
      <c r="AG12" s="70"/>
      <c r="AK12" s="69"/>
    </row>
    <row r="13" spans="1:37" ht="21.75" customHeight="1" x14ac:dyDescent="0.35">
      <c r="A13" s="66"/>
      <c r="B13" s="215"/>
      <c r="C13" s="1812" t="s">
        <v>150</v>
      </c>
      <c r="D13" s="1812"/>
      <c r="E13" s="1812"/>
      <c r="F13" s="1812"/>
      <c r="G13" s="1812"/>
      <c r="H13" s="1812"/>
      <c r="I13" s="1812"/>
      <c r="J13" s="1812"/>
      <c r="K13" s="543" t="s">
        <v>8</v>
      </c>
      <c r="L13" s="1179" t="s">
        <v>2299</v>
      </c>
      <c r="M13" s="1818" t="str">
        <f>VLOOKUP(L13,referensi!B2:D3415,3,FALSE)</f>
        <v>BALAI PELESTARIAN NILAI BUDAYA BALI</v>
      </c>
      <c r="N13" s="1818"/>
      <c r="O13" s="1818"/>
      <c r="P13" s="1818"/>
      <c r="Q13" s="1818"/>
      <c r="R13" s="1818"/>
      <c r="S13" s="1818"/>
      <c r="T13" s="1818"/>
      <c r="U13" s="1818"/>
      <c r="V13" s="1818"/>
      <c r="W13" s="1818"/>
      <c r="X13" s="1818"/>
      <c r="Y13" s="1818"/>
      <c r="Z13" s="1818"/>
      <c r="AA13" s="1818"/>
      <c r="AB13" s="1818"/>
      <c r="AC13" s="538"/>
      <c r="AE13" s="70"/>
      <c r="AG13" s="70"/>
      <c r="AK13" s="69"/>
    </row>
    <row r="14" spans="1:37" ht="21.75" customHeight="1" x14ac:dyDescent="0.35">
      <c r="A14" s="66"/>
      <c r="B14" s="215"/>
      <c r="C14" s="1812" t="s">
        <v>228</v>
      </c>
      <c r="D14" s="1812"/>
      <c r="E14" s="1812"/>
      <c r="F14" s="1812"/>
      <c r="G14" s="1812"/>
      <c r="H14" s="1812"/>
      <c r="I14" s="1812"/>
      <c r="J14" s="1812"/>
      <c r="K14" s="543" t="s">
        <v>8</v>
      </c>
      <c r="L14" s="664" t="s">
        <v>360</v>
      </c>
      <c r="M14" s="1818" t="str">
        <f>VLOOKUP(L14,jk,2,FALSE)</f>
        <v>KANTOR DAERAH</v>
      </c>
      <c r="N14" s="1818"/>
      <c r="O14" s="1818"/>
      <c r="P14" s="1818"/>
      <c r="Q14" s="1818"/>
      <c r="R14" s="1818"/>
      <c r="S14" s="1818"/>
      <c r="T14" s="1818"/>
      <c r="U14" s="1818"/>
      <c r="V14" s="1818"/>
      <c r="W14" s="1818"/>
      <c r="X14" s="1818"/>
      <c r="Y14" s="1818"/>
      <c r="Z14" s="1818"/>
      <c r="AA14" s="1818"/>
      <c r="AB14" s="1818"/>
      <c r="AC14" s="538"/>
      <c r="AE14" s="70"/>
      <c r="AG14" s="70"/>
      <c r="AJ14" s="71" t="s">
        <v>171</v>
      </c>
      <c r="AK14" s="69"/>
    </row>
    <row r="15" spans="1:37" ht="21.75" customHeight="1" x14ac:dyDescent="0.35">
      <c r="A15" s="66"/>
      <c r="B15" s="215"/>
      <c r="C15" s="1812" t="s">
        <v>151</v>
      </c>
      <c r="D15" s="1812"/>
      <c r="E15" s="1812"/>
      <c r="F15" s="1812"/>
      <c r="G15" s="1812"/>
      <c r="H15" s="1812"/>
      <c r="I15" s="1812"/>
      <c r="J15" s="1812"/>
      <c r="K15" s="543" t="s">
        <v>8</v>
      </c>
      <c r="L15" s="664" t="s">
        <v>2274</v>
      </c>
      <c r="M15" s="1818" t="str">
        <f>VLOOKUP(L15,referensi!I2:J42,2,FALSE)</f>
        <v>KPPN DENPASAR</v>
      </c>
      <c r="N15" s="1818"/>
      <c r="O15" s="1818"/>
      <c r="P15" s="1818"/>
      <c r="Q15" s="1818"/>
      <c r="R15" s="1818"/>
      <c r="S15" s="1818"/>
      <c r="T15" s="1818"/>
      <c r="U15" s="1818"/>
      <c r="V15" s="1818"/>
      <c r="W15" s="1818"/>
      <c r="X15" s="1818"/>
      <c r="Y15" s="1818"/>
      <c r="Z15" s="1818"/>
      <c r="AA15" s="1818"/>
      <c r="AB15" s="1818"/>
      <c r="AC15" s="538"/>
      <c r="AE15" s="70"/>
      <c r="AG15" s="70"/>
      <c r="AJ15" s="71" t="s">
        <v>920</v>
      </c>
      <c r="AK15" s="69"/>
    </row>
    <row r="16" spans="1:37" ht="21.75" customHeight="1" x14ac:dyDescent="0.35">
      <c r="A16" s="66"/>
      <c r="B16" s="215"/>
      <c r="C16" s="1812" t="s">
        <v>153</v>
      </c>
      <c r="D16" s="1812"/>
      <c r="E16" s="1812"/>
      <c r="F16" s="1812"/>
      <c r="G16" s="1812"/>
      <c r="H16" s="1812"/>
      <c r="I16" s="1812"/>
      <c r="J16" s="1812"/>
      <c r="K16" s="1817" t="s">
        <v>8</v>
      </c>
      <c r="L16" s="1814" t="s">
        <v>2359</v>
      </c>
      <c r="M16" s="1814"/>
      <c r="N16" s="1814"/>
      <c r="O16" s="1814"/>
      <c r="P16" s="1814"/>
      <c r="Q16" s="1814"/>
      <c r="R16" s="1814"/>
      <c r="S16" s="1814"/>
      <c r="T16" s="1814"/>
      <c r="U16" s="1814"/>
      <c r="V16" s="1814"/>
      <c r="W16" s="1814"/>
      <c r="X16" s="1814"/>
      <c r="Y16" s="1814"/>
      <c r="Z16" s="1814"/>
      <c r="AA16" s="1814"/>
      <c r="AB16" s="1814"/>
      <c r="AC16" s="538"/>
      <c r="AE16" s="70"/>
      <c r="AG16" s="70"/>
      <c r="AJ16" s="69" t="s">
        <v>1189</v>
      </c>
      <c r="AK16" s="69"/>
    </row>
    <row r="17" spans="1:37" ht="21.75" customHeight="1" x14ac:dyDescent="0.35">
      <c r="A17" s="66"/>
      <c r="B17" s="215"/>
      <c r="C17" s="1812"/>
      <c r="D17" s="1812"/>
      <c r="E17" s="1812"/>
      <c r="F17" s="1812"/>
      <c r="G17" s="1812"/>
      <c r="H17" s="1812"/>
      <c r="I17" s="1812"/>
      <c r="J17" s="1813"/>
      <c r="K17" s="1817"/>
      <c r="L17" s="1814"/>
      <c r="M17" s="1814"/>
      <c r="N17" s="1814"/>
      <c r="O17" s="1814"/>
      <c r="P17" s="1814"/>
      <c r="Q17" s="1814"/>
      <c r="R17" s="1814"/>
      <c r="S17" s="1814"/>
      <c r="T17" s="1814"/>
      <c r="U17" s="1814"/>
      <c r="V17" s="1814"/>
      <c r="W17" s="1814"/>
      <c r="X17" s="1814"/>
      <c r="Y17" s="1814"/>
      <c r="Z17" s="1814"/>
      <c r="AA17" s="1814"/>
      <c r="AB17" s="1814"/>
      <c r="AC17" s="538"/>
      <c r="AE17" s="70"/>
      <c r="AG17" s="70"/>
      <c r="AK17" s="69"/>
    </row>
    <row r="18" spans="1:37" ht="21.75" customHeight="1" x14ac:dyDescent="0.35">
      <c r="A18" s="66"/>
      <c r="B18" s="215"/>
      <c r="C18" s="1888" t="s">
        <v>1127</v>
      </c>
      <c r="D18" s="1888"/>
      <c r="E18" s="1888"/>
      <c r="F18" s="1888"/>
      <c r="G18" s="1888"/>
      <c r="H18" s="1888"/>
      <c r="I18" s="1888"/>
      <c r="J18" s="1889"/>
      <c r="K18" s="543" t="s">
        <v>8</v>
      </c>
      <c r="L18" s="1887" t="s">
        <v>2380</v>
      </c>
      <c r="M18" s="1814"/>
      <c r="N18" s="1814"/>
      <c r="O18" s="1814"/>
      <c r="P18" s="1814"/>
      <c r="Q18" s="1814"/>
      <c r="R18" s="1814"/>
      <c r="S18" s="1814"/>
      <c r="T18" s="1814"/>
      <c r="U18" s="1814"/>
      <c r="V18" s="1814"/>
      <c r="W18" s="1814"/>
      <c r="X18" s="1814"/>
      <c r="Y18" s="1814"/>
      <c r="Z18" s="1814"/>
      <c r="AA18" s="1814"/>
      <c r="AB18" s="1814"/>
      <c r="AC18" s="538"/>
      <c r="AE18" s="70"/>
      <c r="AG18" s="70"/>
      <c r="AK18" s="69"/>
    </row>
    <row r="19" spans="1:37" ht="21.75" customHeight="1" x14ac:dyDescent="0.35">
      <c r="A19" s="66"/>
      <c r="B19" s="215"/>
      <c r="C19" s="1888" t="s">
        <v>1128</v>
      </c>
      <c r="D19" s="1888"/>
      <c r="E19" s="1888"/>
      <c r="F19" s="1888"/>
      <c r="G19" s="1888"/>
      <c r="H19" s="1888"/>
      <c r="I19" s="1888"/>
      <c r="J19" s="1889"/>
      <c r="K19" s="543" t="s">
        <v>8</v>
      </c>
      <c r="L19" s="1887"/>
      <c r="M19" s="1814"/>
      <c r="N19" s="1814"/>
      <c r="O19" s="1814"/>
      <c r="P19" s="1814"/>
      <c r="Q19" s="1814"/>
      <c r="R19" s="1814"/>
      <c r="S19" s="1814"/>
      <c r="T19" s="1814"/>
      <c r="U19" s="1814"/>
      <c r="V19" s="1814"/>
      <c r="W19" s="1814"/>
      <c r="X19" s="1814"/>
      <c r="Y19" s="1814"/>
      <c r="Z19" s="1814"/>
      <c r="AA19" s="1814"/>
      <c r="AB19" s="1814"/>
      <c r="AC19" s="538"/>
      <c r="AE19" s="70"/>
      <c r="AG19" s="70"/>
      <c r="AK19" s="69"/>
    </row>
    <row r="20" spans="1:37" ht="21.75" customHeight="1" x14ac:dyDescent="0.35">
      <c r="A20" s="66"/>
      <c r="B20" s="215"/>
      <c r="C20" s="1812" t="s">
        <v>154</v>
      </c>
      <c r="D20" s="1812"/>
      <c r="E20" s="1812"/>
      <c r="F20" s="1812"/>
      <c r="G20" s="1812"/>
      <c r="H20" s="1812"/>
      <c r="I20" s="1812"/>
      <c r="J20" s="1813"/>
      <c r="K20" s="543" t="s">
        <v>8</v>
      </c>
      <c r="L20" s="1814" t="s">
        <v>2360</v>
      </c>
      <c r="M20" s="1814"/>
      <c r="N20" s="1814"/>
      <c r="O20" s="1814"/>
      <c r="P20" s="1814"/>
      <c r="Q20" s="1814"/>
      <c r="R20" s="1814"/>
      <c r="S20" s="1814"/>
      <c r="T20" s="1814"/>
      <c r="U20" s="1814"/>
      <c r="V20" s="1814"/>
      <c r="W20" s="1814"/>
      <c r="X20" s="1814"/>
      <c r="Y20" s="1814"/>
      <c r="Z20" s="1814"/>
      <c r="AA20" s="1814"/>
      <c r="AB20" s="1814"/>
      <c r="AC20" s="538"/>
      <c r="AE20" s="70"/>
      <c r="AG20" s="70"/>
      <c r="AK20" s="69"/>
    </row>
    <row r="21" spans="1:37" ht="21.75" customHeight="1" x14ac:dyDescent="0.35">
      <c r="A21" s="66"/>
      <c r="B21" s="215"/>
      <c r="C21" s="532" t="s">
        <v>1150</v>
      </c>
      <c r="D21" s="532"/>
      <c r="E21" s="532"/>
      <c r="F21" s="532"/>
      <c r="G21" s="532"/>
      <c r="H21" s="532"/>
      <c r="I21" s="532"/>
      <c r="J21" s="533"/>
      <c r="K21" s="543" t="s">
        <v>8</v>
      </c>
      <c r="L21" s="1890" t="s">
        <v>2361</v>
      </c>
      <c r="M21" s="1891"/>
      <c r="N21" s="1891"/>
      <c r="O21" s="1891"/>
      <c r="P21" s="1891"/>
      <c r="Q21" s="1891"/>
      <c r="R21" s="1891"/>
      <c r="S21" s="1891"/>
      <c r="T21" s="1891"/>
      <c r="U21" s="1891"/>
      <c r="V21" s="1891"/>
      <c r="W21" s="1891"/>
      <c r="X21" s="1891"/>
      <c r="Y21" s="1891"/>
      <c r="Z21" s="1891"/>
      <c r="AA21" s="1891"/>
      <c r="AB21" s="1892"/>
      <c r="AC21" s="538"/>
      <c r="AE21" s="70"/>
      <c r="AG21" s="70"/>
      <c r="AK21" s="69"/>
    </row>
    <row r="22" spans="1:37" ht="21.75" customHeight="1" x14ac:dyDescent="0.35">
      <c r="A22" s="66"/>
      <c r="B22" s="215"/>
      <c r="C22" s="532" t="s">
        <v>1151</v>
      </c>
      <c r="D22" s="532"/>
      <c r="E22" s="532"/>
      <c r="F22" s="532"/>
      <c r="G22" s="532"/>
      <c r="H22" s="532"/>
      <c r="I22" s="532"/>
      <c r="J22" s="533"/>
      <c r="K22" s="543" t="s">
        <v>8</v>
      </c>
      <c r="L22" s="1893" t="s">
        <v>2362</v>
      </c>
      <c r="M22" s="1891"/>
      <c r="N22" s="1891"/>
      <c r="O22" s="1891"/>
      <c r="P22" s="1891"/>
      <c r="Q22" s="1891"/>
      <c r="R22" s="1891"/>
      <c r="S22" s="1891"/>
      <c r="T22" s="1891"/>
      <c r="U22" s="1891"/>
      <c r="V22" s="1891"/>
      <c r="W22" s="1891"/>
      <c r="X22" s="1891"/>
      <c r="Y22" s="1891"/>
      <c r="Z22" s="1891"/>
      <c r="AA22" s="1891"/>
      <c r="AB22" s="1892"/>
      <c r="AC22" s="538"/>
      <c r="AE22" s="70"/>
      <c r="AG22" s="70"/>
      <c r="AK22" s="69"/>
    </row>
    <row r="23" spans="1:37" ht="21.75" customHeight="1" x14ac:dyDescent="0.35">
      <c r="A23" s="66"/>
      <c r="B23" s="215"/>
      <c r="C23" s="532" t="s">
        <v>1152</v>
      </c>
      <c r="D23" s="532"/>
      <c r="E23" s="532"/>
      <c r="F23" s="532"/>
      <c r="G23" s="532"/>
      <c r="H23" s="532"/>
      <c r="I23" s="532"/>
      <c r="J23" s="533"/>
      <c r="K23" s="543" t="s">
        <v>8</v>
      </c>
      <c r="L23" s="1630" t="s">
        <v>2381</v>
      </c>
      <c r="M23" s="1631"/>
      <c r="N23" s="592"/>
      <c r="O23" s="592"/>
      <c r="P23" s="592"/>
      <c r="Q23" s="597" t="s">
        <v>1284</v>
      </c>
      <c r="R23" s="597"/>
      <c r="S23" s="597"/>
      <c r="T23" s="597"/>
      <c r="U23" s="597" t="s">
        <v>1209</v>
      </c>
      <c r="V23" s="597"/>
      <c r="W23" s="597"/>
      <c r="X23" s="597"/>
      <c r="Y23" s="592"/>
      <c r="Z23" s="592"/>
      <c r="AA23" s="592"/>
      <c r="AB23" s="593"/>
      <c r="AC23" s="538"/>
      <c r="AE23" s="70"/>
      <c r="AG23" s="70"/>
      <c r="AK23" s="69"/>
    </row>
    <row r="24" spans="1:37" ht="21.75" customHeight="1" x14ac:dyDescent="0.35">
      <c r="A24" s="66"/>
      <c r="B24" s="215"/>
      <c r="C24" s="532" t="s">
        <v>1153</v>
      </c>
      <c r="D24" s="532"/>
      <c r="E24" s="532"/>
      <c r="F24" s="532"/>
      <c r="G24" s="532"/>
      <c r="H24" s="532"/>
      <c r="I24" s="532"/>
      <c r="J24" s="533"/>
      <c r="K24" s="543" t="s">
        <v>8</v>
      </c>
      <c r="L24" s="594" t="s">
        <v>2382</v>
      </c>
      <c r="M24" s="1629" t="s">
        <v>2383</v>
      </c>
      <c r="N24" s="1629"/>
      <c r="O24" s="1629"/>
      <c r="P24" s="595"/>
      <c r="Q24" s="598" t="str">
        <f>M24</f>
        <v>31 Desember 2019</v>
      </c>
      <c r="R24" s="598"/>
      <c r="S24" s="598"/>
      <c r="T24" s="599" t="s">
        <v>113</v>
      </c>
      <c r="U24" s="600"/>
      <c r="V24" s="600"/>
      <c r="W24" s="600"/>
      <c r="X24" s="600"/>
      <c r="Y24" s="668" t="s">
        <v>2391</v>
      </c>
      <c r="Z24" s="666"/>
      <c r="AA24" s="666"/>
      <c r="AB24" s="596"/>
      <c r="AC24" s="538"/>
      <c r="AE24" s="70"/>
      <c r="AG24" s="70"/>
      <c r="AK24" s="69"/>
    </row>
    <row r="25" spans="1:37" ht="21.75" customHeight="1" x14ac:dyDescent="0.35">
      <c r="A25" s="66"/>
      <c r="B25" s="215"/>
      <c r="C25" s="1812" t="s">
        <v>1154</v>
      </c>
      <c r="D25" s="1812"/>
      <c r="E25" s="1812"/>
      <c r="F25" s="1812"/>
      <c r="G25" s="1812"/>
      <c r="H25" s="1812"/>
      <c r="I25" s="1812"/>
      <c r="J25" s="1813"/>
      <c r="K25" s="543" t="s">
        <v>8</v>
      </c>
      <c r="L25" s="594" t="s">
        <v>2341</v>
      </c>
      <c r="M25" s="1629" t="s">
        <v>2349</v>
      </c>
      <c r="N25" s="1629"/>
      <c r="O25" s="1629"/>
      <c r="P25" s="595"/>
      <c r="Q25" s="598" t="str">
        <f>M25</f>
        <v>31 Desember 2018</v>
      </c>
      <c r="R25" s="598"/>
      <c r="S25" s="598"/>
      <c r="T25" s="600" t="s">
        <v>2349</v>
      </c>
      <c r="U25" s="600"/>
      <c r="V25" s="600"/>
      <c r="W25" s="600"/>
      <c r="X25" s="600"/>
      <c r="Y25" s="668" t="s">
        <v>2336</v>
      </c>
      <c r="Z25" s="666"/>
      <c r="AA25" s="666"/>
      <c r="AB25" s="596"/>
      <c r="AC25" s="538"/>
      <c r="AE25" s="70"/>
      <c r="AG25" s="70"/>
      <c r="AK25" s="69"/>
    </row>
    <row r="26" spans="1:37" ht="21.75" customHeight="1" x14ac:dyDescent="0.3">
      <c r="A26" s="66"/>
      <c r="B26" s="1842"/>
      <c r="C26" s="1842"/>
      <c r="D26" s="1842"/>
      <c r="E26" s="1842"/>
      <c r="F26" s="1842"/>
      <c r="G26" s="1842"/>
      <c r="H26" s="1842"/>
      <c r="I26" s="1842"/>
      <c r="J26" s="1842"/>
      <c r="K26" s="1842"/>
      <c r="L26" s="1842"/>
      <c r="M26" s="1842"/>
      <c r="N26" s="1842"/>
      <c r="O26" s="1842"/>
      <c r="P26" s="1842"/>
      <c r="Q26" s="1842"/>
      <c r="R26" s="1842"/>
      <c r="S26" s="1842"/>
      <c r="T26" s="1842"/>
      <c r="U26" s="1842"/>
      <c r="V26" s="1842"/>
      <c r="W26" s="1842"/>
      <c r="X26" s="1842"/>
      <c r="Y26" s="1842"/>
      <c r="Z26" s="1842"/>
      <c r="AA26" s="1842"/>
      <c r="AB26" s="1842"/>
      <c r="AC26" s="1842"/>
      <c r="AE26" s="70"/>
      <c r="AG26" s="70"/>
      <c r="AK26" s="69"/>
    </row>
    <row r="27" spans="1:37" ht="21.75" customHeight="1" thickBot="1" x14ac:dyDescent="0.35">
      <c r="A27" s="66"/>
      <c r="B27" s="1801" t="s">
        <v>2384</v>
      </c>
      <c r="C27" s="1801"/>
      <c r="D27" s="1801"/>
      <c r="E27" s="1801"/>
      <c r="F27" s="1801"/>
      <c r="G27" s="1801"/>
      <c r="H27" s="1801"/>
      <c r="I27" s="1801"/>
      <c r="J27" s="1801"/>
      <c r="K27" s="1801"/>
      <c r="L27" s="1801"/>
      <c r="M27" s="1801"/>
      <c r="N27" s="1801"/>
      <c r="O27" s="1801"/>
      <c r="P27" s="1801"/>
      <c r="Q27" s="1801"/>
      <c r="R27" s="1801"/>
      <c r="S27" s="1801"/>
      <c r="T27" s="1801"/>
      <c r="U27" s="1801"/>
      <c r="V27" s="1801"/>
      <c r="W27" s="1801"/>
      <c r="X27" s="1801"/>
      <c r="Y27" s="1801"/>
      <c r="Z27" s="1801"/>
      <c r="AA27" s="1801"/>
      <c r="AB27" s="1801"/>
      <c r="AC27" s="1801"/>
      <c r="AE27" s="70"/>
      <c r="AG27" s="70"/>
      <c r="AK27" s="69"/>
    </row>
    <row r="28" spans="1:37" ht="21.75" customHeight="1" thickTop="1" thickBot="1" x14ac:dyDescent="0.4">
      <c r="A28" s="66"/>
      <c r="B28" s="1742" t="s">
        <v>112</v>
      </c>
      <c r="C28" s="1834" t="s">
        <v>1156</v>
      </c>
      <c r="D28" s="1835"/>
      <c r="E28" s="1835"/>
      <c r="F28" s="1835"/>
      <c r="G28" s="1835"/>
      <c r="H28" s="1835"/>
      <c r="I28" s="1835"/>
      <c r="J28" s="1836"/>
      <c r="K28" s="1830" t="str">
        <f>$L$24</f>
        <v>TA 2019</v>
      </c>
      <c r="L28" s="1831"/>
      <c r="M28" s="1830" t="str">
        <f>$L$25</f>
        <v>TA 2018</v>
      </c>
      <c r="N28" s="1831"/>
      <c r="O28" s="228"/>
      <c r="P28" s="1767" t="str">
        <f>$Q$24</f>
        <v>31 Desember 2019</v>
      </c>
      <c r="Q28" s="1768"/>
      <c r="R28" s="1768"/>
      <c r="S28" s="1768"/>
      <c r="T28" s="1768"/>
      <c r="U28" s="1768"/>
      <c r="V28" s="215"/>
      <c r="W28" s="1828" t="str">
        <f>$Q$25</f>
        <v>31 Desember 2018</v>
      </c>
      <c r="X28" s="1829"/>
      <c r="Y28" s="1829"/>
      <c r="Z28" s="1829"/>
      <c r="AA28" s="1829"/>
      <c r="AB28" s="1829"/>
      <c r="AC28" s="215"/>
      <c r="AE28" s="70"/>
      <c r="AG28" s="70"/>
      <c r="AK28" s="69"/>
    </row>
    <row r="29" spans="1:37" ht="21.75" customHeight="1" thickTop="1" x14ac:dyDescent="0.35">
      <c r="A29" s="66"/>
      <c r="B29" s="1743"/>
      <c r="C29" s="1837"/>
      <c r="D29" s="1838"/>
      <c r="E29" s="1838"/>
      <c r="F29" s="1838"/>
      <c r="G29" s="1838"/>
      <c r="H29" s="1838"/>
      <c r="I29" s="1838"/>
      <c r="J29" s="1839"/>
      <c r="K29" s="1843"/>
      <c r="L29" s="1844"/>
      <c r="M29" s="1832"/>
      <c r="N29" s="1833"/>
      <c r="O29" s="228"/>
      <c r="P29" s="1769" t="s">
        <v>174</v>
      </c>
      <c r="Q29" s="1770"/>
      <c r="R29" s="1770"/>
      <c r="S29" s="1771" t="s">
        <v>175</v>
      </c>
      <c r="T29" s="1771"/>
      <c r="U29" s="1772"/>
      <c r="V29" s="215"/>
      <c r="W29" s="1769" t="s">
        <v>174</v>
      </c>
      <c r="X29" s="1773"/>
      <c r="Y29" s="1773"/>
      <c r="Z29" s="1771" t="s">
        <v>175</v>
      </c>
      <c r="AA29" s="1771"/>
      <c r="AB29" s="1772"/>
      <c r="AC29" s="215"/>
      <c r="AE29" s="70"/>
      <c r="AG29" s="70"/>
      <c r="AK29" s="69"/>
    </row>
    <row r="30" spans="1:37" ht="21.75" customHeight="1" x14ac:dyDescent="0.35">
      <c r="A30" s="66"/>
      <c r="B30" s="481">
        <v>1</v>
      </c>
      <c r="C30" s="1823" t="s">
        <v>1201</v>
      </c>
      <c r="D30" s="1823"/>
      <c r="E30" s="1823"/>
      <c r="F30" s="1823"/>
      <c r="G30" s="1823"/>
      <c r="H30" s="1823"/>
      <c r="I30" s="1823"/>
      <c r="J30" s="1824"/>
      <c r="K30" s="1845">
        <f t="shared" ref="K30:K35" si="0">P30-S30</f>
        <v>0</v>
      </c>
      <c r="L30" s="1846"/>
      <c r="M30" s="1847"/>
      <c r="N30" s="1848"/>
      <c r="O30" s="294"/>
      <c r="P30" s="1787">
        <v>0</v>
      </c>
      <c r="Q30" s="1775"/>
      <c r="R30" s="1775"/>
      <c r="S30" s="1774">
        <v>0</v>
      </c>
      <c r="T30" s="1775"/>
      <c r="U30" s="1788"/>
      <c r="V30" s="295"/>
      <c r="W30" s="1787"/>
      <c r="X30" s="1775"/>
      <c r="Y30" s="1775"/>
      <c r="Z30" s="1774">
        <v>0</v>
      </c>
      <c r="AA30" s="1775"/>
      <c r="AB30" s="1776"/>
      <c r="AC30" s="215"/>
      <c r="AE30" s="70">
        <v>1</v>
      </c>
      <c r="AF30" s="70" t="s">
        <v>1201</v>
      </c>
      <c r="AG30" s="70"/>
      <c r="AK30" s="69"/>
    </row>
    <row r="31" spans="1:37" ht="21.75" customHeight="1" x14ac:dyDescent="0.35">
      <c r="A31" s="66"/>
      <c r="B31" s="482">
        <f t="shared" ref="B31:B36" si="1">B30+1</f>
        <v>2</v>
      </c>
      <c r="C31" s="1789" t="s">
        <v>253</v>
      </c>
      <c r="D31" s="1789"/>
      <c r="E31" s="1789"/>
      <c r="F31" s="1789"/>
      <c r="G31" s="1789"/>
      <c r="H31" s="1789"/>
      <c r="I31" s="1789"/>
      <c r="J31" s="1790"/>
      <c r="K31" s="1819">
        <f t="shared" si="0"/>
        <v>0</v>
      </c>
      <c r="L31" s="1820"/>
      <c r="M31" s="1821"/>
      <c r="N31" s="1822"/>
      <c r="O31" s="228"/>
      <c r="P31" s="1777">
        <v>0</v>
      </c>
      <c r="Q31" s="1778"/>
      <c r="R31" s="1779"/>
      <c r="S31" s="1750">
        <v>0</v>
      </c>
      <c r="T31" s="1751"/>
      <c r="U31" s="1752"/>
      <c r="V31" s="215"/>
      <c r="W31" s="1777"/>
      <c r="X31" s="1778"/>
      <c r="Y31" s="1779"/>
      <c r="Z31" s="1750">
        <v>0</v>
      </c>
      <c r="AA31" s="1751"/>
      <c r="AB31" s="1754"/>
      <c r="AC31" s="215"/>
      <c r="AE31" s="70">
        <v>2</v>
      </c>
      <c r="AF31" s="70" t="s">
        <v>253</v>
      </c>
      <c r="AG31" s="70"/>
      <c r="AK31" s="69"/>
    </row>
    <row r="32" spans="1:37" ht="21.75" customHeight="1" x14ac:dyDescent="0.35">
      <c r="A32" s="66"/>
      <c r="B32" s="482">
        <f t="shared" si="1"/>
        <v>3</v>
      </c>
      <c r="C32" s="1789" t="s">
        <v>254</v>
      </c>
      <c r="D32" s="1789"/>
      <c r="E32" s="1789"/>
      <c r="F32" s="1789"/>
      <c r="G32" s="1789"/>
      <c r="H32" s="1789"/>
      <c r="I32" s="1789"/>
      <c r="J32" s="1790"/>
      <c r="K32" s="1819">
        <f t="shared" si="0"/>
        <v>0</v>
      </c>
      <c r="L32" s="1820"/>
      <c r="M32" s="1821">
        <f t="shared" ref="M32:M35" si="2">W32-Z32</f>
        <v>0</v>
      </c>
      <c r="N32" s="1822"/>
      <c r="O32" s="228"/>
      <c r="P32" s="1777">
        <v>0</v>
      </c>
      <c r="Q32" s="1778"/>
      <c r="R32" s="1779"/>
      <c r="S32" s="1750">
        <v>0</v>
      </c>
      <c r="T32" s="1751"/>
      <c r="U32" s="1752"/>
      <c r="V32" s="215"/>
      <c r="W32" s="1753"/>
      <c r="X32" s="1751"/>
      <c r="Y32" s="1751"/>
      <c r="Z32" s="1750">
        <v>0</v>
      </c>
      <c r="AA32" s="1751"/>
      <c r="AB32" s="1754"/>
      <c r="AC32" s="215"/>
      <c r="AE32" s="70">
        <v>3</v>
      </c>
      <c r="AF32" s="70" t="s">
        <v>254</v>
      </c>
      <c r="AG32" s="70"/>
      <c r="AK32" s="69"/>
    </row>
    <row r="33" spans="1:37" ht="21.75" customHeight="1" x14ac:dyDescent="0.35">
      <c r="A33" s="66"/>
      <c r="B33" s="482">
        <f t="shared" si="1"/>
        <v>4</v>
      </c>
      <c r="C33" s="1789" t="s">
        <v>255</v>
      </c>
      <c r="D33" s="1789"/>
      <c r="E33" s="1789"/>
      <c r="F33" s="1789"/>
      <c r="G33" s="1789"/>
      <c r="H33" s="1789"/>
      <c r="I33" s="1789"/>
      <c r="J33" s="1790"/>
      <c r="K33" s="1819">
        <f t="shared" si="0"/>
        <v>0</v>
      </c>
      <c r="L33" s="1820"/>
      <c r="M33" s="1821">
        <f t="shared" si="2"/>
        <v>0</v>
      </c>
      <c r="N33" s="1822"/>
      <c r="O33" s="228"/>
      <c r="P33" s="1777">
        <v>0</v>
      </c>
      <c r="Q33" s="1778"/>
      <c r="R33" s="1779"/>
      <c r="S33" s="1750">
        <v>0</v>
      </c>
      <c r="T33" s="1751"/>
      <c r="U33" s="1752"/>
      <c r="V33" s="215"/>
      <c r="W33" s="1753">
        <v>0</v>
      </c>
      <c r="X33" s="1751"/>
      <c r="Y33" s="1751"/>
      <c r="Z33" s="1750">
        <v>0</v>
      </c>
      <c r="AA33" s="1751"/>
      <c r="AB33" s="1754"/>
      <c r="AC33" s="215"/>
      <c r="AE33" s="70">
        <v>4</v>
      </c>
      <c r="AF33" s="70" t="s">
        <v>255</v>
      </c>
      <c r="AG33" s="70"/>
      <c r="AK33" s="69"/>
    </row>
    <row r="34" spans="1:37" ht="21.75" customHeight="1" x14ac:dyDescent="0.35">
      <c r="A34" s="66"/>
      <c r="B34" s="482">
        <f t="shared" si="1"/>
        <v>5</v>
      </c>
      <c r="C34" s="1789" t="s">
        <v>256</v>
      </c>
      <c r="D34" s="1789"/>
      <c r="E34" s="1789"/>
      <c r="F34" s="1789"/>
      <c r="G34" s="1789"/>
      <c r="H34" s="1789"/>
      <c r="I34" s="1789"/>
      <c r="J34" s="1790"/>
      <c r="K34" s="1819">
        <f t="shared" si="0"/>
        <v>0</v>
      </c>
      <c r="L34" s="1820"/>
      <c r="M34" s="1821">
        <f t="shared" si="2"/>
        <v>0</v>
      </c>
      <c r="N34" s="1822"/>
      <c r="O34" s="228"/>
      <c r="P34" s="1777">
        <v>0</v>
      </c>
      <c r="Q34" s="1778"/>
      <c r="R34" s="1779"/>
      <c r="S34" s="1750">
        <v>0</v>
      </c>
      <c r="T34" s="1751"/>
      <c r="U34" s="1752"/>
      <c r="V34" s="215"/>
      <c r="W34" s="1753">
        <v>0</v>
      </c>
      <c r="X34" s="1751"/>
      <c r="Y34" s="1751"/>
      <c r="Z34" s="1750">
        <v>0</v>
      </c>
      <c r="AA34" s="1751"/>
      <c r="AB34" s="1754"/>
      <c r="AC34" s="215"/>
      <c r="AE34" s="70">
        <v>5</v>
      </c>
      <c r="AF34" s="70" t="s">
        <v>256</v>
      </c>
      <c r="AG34" s="70"/>
      <c r="AK34" s="69"/>
    </row>
    <row r="35" spans="1:37" ht="21.75" customHeight="1" x14ac:dyDescent="0.35">
      <c r="A35" s="66"/>
      <c r="B35" s="482">
        <f t="shared" si="1"/>
        <v>6</v>
      </c>
      <c r="C35" s="1789" t="s">
        <v>257</v>
      </c>
      <c r="D35" s="1789"/>
      <c r="E35" s="1789"/>
      <c r="F35" s="1789"/>
      <c r="G35" s="1789"/>
      <c r="H35" s="1789"/>
      <c r="I35" s="1789"/>
      <c r="J35" s="1790"/>
      <c r="K35" s="1819">
        <f t="shared" si="0"/>
        <v>0</v>
      </c>
      <c r="L35" s="1820"/>
      <c r="M35" s="1821">
        <f t="shared" si="2"/>
        <v>0</v>
      </c>
      <c r="N35" s="1822"/>
      <c r="O35" s="228"/>
      <c r="P35" s="1777">
        <v>0</v>
      </c>
      <c r="Q35" s="1778"/>
      <c r="R35" s="1779"/>
      <c r="S35" s="1750">
        <v>0</v>
      </c>
      <c r="T35" s="1751"/>
      <c r="U35" s="1752"/>
      <c r="V35" s="215"/>
      <c r="W35" s="1753">
        <v>0</v>
      </c>
      <c r="X35" s="1751"/>
      <c r="Y35" s="1751"/>
      <c r="Z35" s="1750">
        <v>0</v>
      </c>
      <c r="AA35" s="1751"/>
      <c r="AB35" s="1754"/>
      <c r="AC35" s="215"/>
      <c r="AE35" s="70">
        <v>6</v>
      </c>
      <c r="AF35" s="70" t="s">
        <v>257</v>
      </c>
      <c r="AG35" s="70"/>
      <c r="AK35" s="69"/>
    </row>
    <row r="36" spans="1:37" ht="21.75" customHeight="1" thickBot="1" x14ac:dyDescent="0.4">
      <c r="A36" s="66"/>
      <c r="B36" s="482">
        <f t="shared" si="1"/>
        <v>7</v>
      </c>
      <c r="C36" s="1763" t="s">
        <v>2340</v>
      </c>
      <c r="D36" s="1763"/>
      <c r="E36" s="1763"/>
      <c r="F36" s="1763"/>
      <c r="G36" s="1763"/>
      <c r="H36" s="1763"/>
      <c r="I36" s="1763"/>
      <c r="J36" s="1764"/>
      <c r="L36" s="1479">
        <v>1500000</v>
      </c>
      <c r="M36" s="1765">
        <v>900000</v>
      </c>
      <c r="N36" s="1766"/>
      <c r="O36" s="228"/>
      <c r="P36" s="1755">
        <v>1500000</v>
      </c>
      <c r="Q36" s="1756"/>
      <c r="R36" s="1757"/>
      <c r="S36" s="1750">
        <v>0</v>
      </c>
      <c r="T36" s="1751"/>
      <c r="U36" s="1752"/>
      <c r="V36" s="215"/>
      <c r="W36" s="1755">
        <v>900000</v>
      </c>
      <c r="X36" s="1756"/>
      <c r="Y36" s="1757"/>
      <c r="Z36" s="1750">
        <v>0</v>
      </c>
      <c r="AA36" s="1751"/>
      <c r="AB36" s="1754"/>
      <c r="AC36" s="215"/>
      <c r="AE36" s="70">
        <v>7</v>
      </c>
      <c r="AF36" s="70" t="s">
        <v>2340</v>
      </c>
      <c r="AG36" s="70"/>
      <c r="AK36" s="69"/>
    </row>
    <row r="37" spans="1:37" ht="21.75" customHeight="1" thickTop="1" thickBot="1" x14ac:dyDescent="0.4">
      <c r="A37" s="66"/>
      <c r="B37" s="486">
        <v>8</v>
      </c>
      <c r="C37" s="1447" t="s">
        <v>2363</v>
      </c>
      <c r="D37" s="1448"/>
      <c r="E37" s="1448"/>
      <c r="F37" s="1448"/>
      <c r="G37" s="1448"/>
      <c r="H37" s="1448"/>
      <c r="I37" s="1448"/>
      <c r="J37" s="1449"/>
      <c r="L37" s="1480">
        <v>1799999</v>
      </c>
      <c r="M37" s="1791">
        <v>48000000</v>
      </c>
      <c r="N37" s="1792"/>
      <c r="O37" s="228"/>
      <c r="P37" s="1795">
        <v>1799999</v>
      </c>
      <c r="Q37" s="1795"/>
      <c r="R37" s="1796"/>
      <c r="S37" s="1793"/>
      <c r="T37" s="1794"/>
      <c r="U37" s="1794"/>
      <c r="V37" s="215"/>
      <c r="W37" s="1795">
        <v>48000000</v>
      </c>
      <c r="X37" s="1795"/>
      <c r="Y37" s="1796"/>
      <c r="Z37" s="1793"/>
      <c r="AA37" s="1794"/>
      <c r="AB37" s="1794"/>
      <c r="AC37" s="215"/>
      <c r="AE37" s="70"/>
      <c r="AF37" s="70"/>
      <c r="AG37" s="70"/>
      <c r="AH37" s="1446"/>
      <c r="AK37" s="69"/>
    </row>
    <row r="38" spans="1:37" ht="21.75" customHeight="1" thickTop="1" x14ac:dyDescent="0.35">
      <c r="A38" s="66"/>
      <c r="B38" s="483"/>
      <c r="C38" s="1760" t="s">
        <v>1193</v>
      </c>
      <c r="D38" s="1761"/>
      <c r="E38" s="1761"/>
      <c r="F38" s="1761"/>
      <c r="G38" s="1761"/>
      <c r="H38" s="1761"/>
      <c r="I38" s="1761"/>
      <c r="J38" s="1762"/>
      <c r="K38" s="1840">
        <f>SUM(K30,L36,L37)</f>
        <v>3299999</v>
      </c>
      <c r="L38" s="1841"/>
      <c r="M38" s="1840">
        <f>SUM(M30:N37)</f>
        <v>48900000</v>
      </c>
      <c r="N38" s="1841"/>
      <c r="O38" s="296"/>
      <c r="P38" s="1758">
        <f>SUM(P30:P36:P37)</f>
        <v>3299999</v>
      </c>
      <c r="Q38" s="1759"/>
      <c r="R38" s="1759"/>
      <c r="S38" s="1758">
        <f>SUM(S30:U36)</f>
        <v>0</v>
      </c>
      <c r="T38" s="1759"/>
      <c r="U38" s="1759"/>
      <c r="V38" s="297"/>
      <c r="W38" s="1758">
        <f>SUM(W30:W36)</f>
        <v>900000</v>
      </c>
      <c r="X38" s="1759"/>
      <c r="Y38" s="1759"/>
      <c r="Z38" s="1758">
        <f>SUM(Z30:Z36)</f>
        <v>0</v>
      </c>
      <c r="AA38" s="1759"/>
      <c r="AB38" s="1759"/>
      <c r="AC38" s="215"/>
      <c r="AE38" s="70"/>
      <c r="AF38" s="70"/>
      <c r="AG38" s="70"/>
      <c r="AK38" s="69"/>
    </row>
    <row r="39" spans="1:37" ht="11.25" customHeight="1" x14ac:dyDescent="0.3">
      <c r="A39" s="66"/>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E39" s="70"/>
      <c r="AF39" s="70"/>
      <c r="AG39" s="70"/>
      <c r="AK39" s="69"/>
    </row>
    <row r="40" spans="1:37" ht="21.75" customHeight="1" thickBot="1" x14ac:dyDescent="0.35">
      <c r="A40" s="66"/>
      <c r="B40" s="1801" t="s">
        <v>2385</v>
      </c>
      <c r="C40" s="1801"/>
      <c r="D40" s="1801"/>
      <c r="E40" s="1801"/>
      <c r="F40" s="1801"/>
      <c r="G40" s="1801"/>
      <c r="H40" s="1801"/>
      <c r="I40" s="1801"/>
      <c r="J40" s="1801"/>
      <c r="K40" s="1801"/>
      <c r="L40" s="1801"/>
      <c r="M40" s="1801"/>
      <c r="N40" s="1801"/>
      <c r="O40" s="1801"/>
      <c r="P40" s="1801"/>
      <c r="Q40" s="1801"/>
      <c r="R40" s="1801"/>
      <c r="S40" s="1801"/>
      <c r="T40" s="1801"/>
      <c r="U40" s="1801"/>
      <c r="V40" s="1801"/>
      <c r="W40" s="1801"/>
      <c r="X40" s="1801"/>
      <c r="Y40" s="1801"/>
      <c r="Z40" s="1801"/>
      <c r="AA40" s="1801"/>
      <c r="AB40" s="1801"/>
      <c r="AC40" s="1801"/>
      <c r="AE40" s="70"/>
      <c r="AF40" s="70"/>
      <c r="AG40" s="70"/>
      <c r="AK40" s="69"/>
    </row>
    <row r="41" spans="1:37" ht="21.75" customHeight="1" thickTop="1" thickBot="1" x14ac:dyDescent="0.4">
      <c r="A41" s="66"/>
      <c r="B41" s="1742" t="s">
        <v>112</v>
      </c>
      <c r="C41" s="1834" t="s">
        <v>1156</v>
      </c>
      <c r="D41" s="1835"/>
      <c r="E41" s="1835"/>
      <c r="F41" s="1835"/>
      <c r="G41" s="1835"/>
      <c r="H41" s="1835"/>
      <c r="I41" s="1835"/>
      <c r="J41" s="1836"/>
      <c r="K41" s="1830" t="str">
        <f>$L$24</f>
        <v>TA 2019</v>
      </c>
      <c r="L41" s="1831"/>
      <c r="M41" s="1830" t="str">
        <f>$L$25</f>
        <v>TA 2018</v>
      </c>
      <c r="N41" s="1831"/>
      <c r="O41" s="228"/>
      <c r="P41" s="1767" t="str">
        <f>$Q$24</f>
        <v>31 Desember 2019</v>
      </c>
      <c r="Q41" s="1768"/>
      <c r="R41" s="1768"/>
      <c r="S41" s="1768"/>
      <c r="T41" s="1768"/>
      <c r="U41" s="1768"/>
      <c r="V41" s="215"/>
      <c r="W41" s="1828" t="str">
        <f>$Q$25</f>
        <v>31 Desember 2018</v>
      </c>
      <c r="X41" s="1829"/>
      <c r="Y41" s="1829"/>
      <c r="Z41" s="1829"/>
      <c r="AA41" s="1829"/>
      <c r="AB41" s="1829"/>
      <c r="AC41" s="215"/>
      <c r="AE41" s="70"/>
      <c r="AF41" s="70"/>
      <c r="AG41" s="70"/>
      <c r="AK41" s="69"/>
    </row>
    <row r="42" spans="1:37" ht="21.75" customHeight="1" thickTop="1" x14ac:dyDescent="0.35">
      <c r="A42" s="66"/>
      <c r="B42" s="1743"/>
      <c r="C42" s="1837"/>
      <c r="D42" s="1838"/>
      <c r="E42" s="1838"/>
      <c r="F42" s="1838"/>
      <c r="G42" s="1838"/>
      <c r="H42" s="1838"/>
      <c r="I42" s="1838"/>
      <c r="J42" s="1839"/>
      <c r="K42" s="1843"/>
      <c r="L42" s="1844"/>
      <c r="M42" s="1832"/>
      <c r="N42" s="1833"/>
      <c r="O42" s="228"/>
      <c r="P42" s="1769" t="s">
        <v>174</v>
      </c>
      <c r="Q42" s="1770"/>
      <c r="R42" s="1770"/>
      <c r="S42" s="1771" t="s">
        <v>175</v>
      </c>
      <c r="T42" s="1771"/>
      <c r="U42" s="1772"/>
      <c r="V42" s="215"/>
      <c r="W42" s="1769" t="s">
        <v>174</v>
      </c>
      <c r="X42" s="1773"/>
      <c r="Y42" s="1773"/>
      <c r="Z42" s="1771" t="s">
        <v>175</v>
      </c>
      <c r="AA42" s="1771"/>
      <c r="AB42" s="1772"/>
      <c r="AC42" s="215"/>
      <c r="AE42" s="70"/>
      <c r="AF42" s="70"/>
      <c r="AG42" s="70"/>
      <c r="AK42" s="69"/>
    </row>
    <row r="43" spans="1:37" ht="21.75" customHeight="1" x14ac:dyDescent="0.35">
      <c r="A43" s="66"/>
      <c r="B43" s="481">
        <v>1</v>
      </c>
      <c r="C43" s="1780" t="s">
        <v>1191</v>
      </c>
      <c r="D43" s="1781"/>
      <c r="E43" s="1781"/>
      <c r="F43" s="1781"/>
      <c r="G43" s="1781"/>
      <c r="H43" s="1781"/>
      <c r="I43" s="1781"/>
      <c r="J43" s="1782"/>
      <c r="K43" s="1783">
        <f>P43-S43</f>
        <v>0</v>
      </c>
      <c r="L43" s="1784"/>
      <c r="M43" s="1785">
        <f>W43-Z43</f>
        <v>0</v>
      </c>
      <c r="N43" s="1786"/>
      <c r="O43" s="294"/>
      <c r="P43" s="1787">
        <v>0</v>
      </c>
      <c r="Q43" s="1775"/>
      <c r="R43" s="1775"/>
      <c r="S43" s="1774">
        <v>0</v>
      </c>
      <c r="T43" s="1775"/>
      <c r="U43" s="1788"/>
      <c r="V43" s="295"/>
      <c r="W43" s="1787">
        <v>0</v>
      </c>
      <c r="X43" s="1775"/>
      <c r="Y43" s="1775"/>
      <c r="Z43" s="1774">
        <v>0</v>
      </c>
      <c r="AA43" s="1775"/>
      <c r="AB43" s="1776"/>
      <c r="AC43" s="215"/>
      <c r="AE43" s="70">
        <v>1</v>
      </c>
      <c r="AF43" s="70" t="s">
        <v>1191</v>
      </c>
      <c r="AG43" s="70"/>
      <c r="AK43" s="69"/>
    </row>
    <row r="44" spans="1:37" ht="21.75" customHeight="1" x14ac:dyDescent="0.35">
      <c r="A44" s="66"/>
      <c r="B44" s="482">
        <f>B43+1</f>
        <v>2</v>
      </c>
      <c r="C44" s="1825" t="s">
        <v>1194</v>
      </c>
      <c r="D44" s="1826"/>
      <c r="E44" s="1826"/>
      <c r="F44" s="1826"/>
      <c r="G44" s="1826"/>
      <c r="H44" s="1826"/>
      <c r="I44" s="1826"/>
      <c r="J44" s="1827"/>
      <c r="K44" s="1819">
        <f>P44-S44</f>
        <v>0</v>
      </c>
      <c r="L44" s="1820"/>
      <c r="M44" s="1821">
        <f>W44-Z44</f>
        <v>0</v>
      </c>
      <c r="N44" s="1822"/>
      <c r="O44" s="228"/>
      <c r="P44" s="1753">
        <v>0</v>
      </c>
      <c r="Q44" s="1751"/>
      <c r="R44" s="1751"/>
      <c r="S44" s="1750">
        <v>0</v>
      </c>
      <c r="T44" s="1751"/>
      <c r="U44" s="1752"/>
      <c r="V44" s="215"/>
      <c r="W44" s="1753">
        <v>0</v>
      </c>
      <c r="X44" s="1751"/>
      <c r="Y44" s="1751"/>
      <c r="Z44" s="1750">
        <v>0</v>
      </c>
      <c r="AA44" s="1751"/>
      <c r="AB44" s="1754"/>
      <c r="AC44" s="215"/>
      <c r="AE44" s="70">
        <v>2</v>
      </c>
      <c r="AF44" s="70" t="s">
        <v>1194</v>
      </c>
      <c r="AG44" s="70"/>
      <c r="AK44" s="69"/>
    </row>
    <row r="45" spans="1:37" ht="21.75" customHeight="1" x14ac:dyDescent="0.35">
      <c r="A45" s="66"/>
      <c r="B45" s="482">
        <f>B44+1</f>
        <v>3</v>
      </c>
      <c r="C45" s="1825" t="s">
        <v>1195</v>
      </c>
      <c r="D45" s="1826"/>
      <c r="E45" s="1826"/>
      <c r="F45" s="1826"/>
      <c r="G45" s="1826"/>
      <c r="H45" s="1826"/>
      <c r="I45" s="1826"/>
      <c r="J45" s="1827"/>
      <c r="K45" s="1819">
        <f>P45-S45</f>
        <v>0</v>
      </c>
      <c r="L45" s="1820"/>
      <c r="M45" s="1821">
        <f>W45-Z45</f>
        <v>0</v>
      </c>
      <c r="N45" s="1822"/>
      <c r="O45" s="228"/>
      <c r="P45" s="1753">
        <v>0</v>
      </c>
      <c r="Q45" s="1751"/>
      <c r="R45" s="1751"/>
      <c r="S45" s="1750">
        <v>0</v>
      </c>
      <c r="T45" s="1751"/>
      <c r="U45" s="1752"/>
      <c r="V45" s="215"/>
      <c r="W45" s="1753">
        <v>0</v>
      </c>
      <c r="X45" s="1751"/>
      <c r="Y45" s="1751"/>
      <c r="Z45" s="1750">
        <v>0</v>
      </c>
      <c r="AA45" s="1751"/>
      <c r="AB45" s="1754"/>
      <c r="AC45" s="215"/>
      <c r="AE45" s="70">
        <v>3</v>
      </c>
      <c r="AF45" s="70" t="s">
        <v>1195</v>
      </c>
      <c r="AG45" s="70"/>
      <c r="AK45" s="69"/>
    </row>
    <row r="46" spans="1:37" ht="21.75" customHeight="1" x14ac:dyDescent="0.35">
      <c r="A46" s="66"/>
      <c r="B46" s="482">
        <f>B45+1</f>
        <v>4</v>
      </c>
      <c r="C46" s="1825" t="s">
        <v>1196</v>
      </c>
      <c r="D46" s="1826"/>
      <c r="E46" s="1826"/>
      <c r="F46" s="1826"/>
      <c r="G46" s="1826"/>
      <c r="H46" s="1826"/>
      <c r="I46" s="1826"/>
      <c r="J46" s="1827"/>
      <c r="K46" s="1819">
        <f>P46-S46</f>
        <v>0</v>
      </c>
      <c r="L46" s="1820"/>
      <c r="M46" s="1821">
        <f>W46-Z46</f>
        <v>0</v>
      </c>
      <c r="N46" s="1822"/>
      <c r="O46" s="228"/>
      <c r="P46" s="1753">
        <v>0</v>
      </c>
      <c r="Q46" s="1751"/>
      <c r="R46" s="1751"/>
      <c r="S46" s="1750">
        <v>0</v>
      </c>
      <c r="T46" s="1751"/>
      <c r="U46" s="1752"/>
      <c r="V46" s="215"/>
      <c r="W46" s="1753">
        <v>0</v>
      </c>
      <c r="X46" s="1751"/>
      <c r="Y46" s="1751"/>
      <c r="Z46" s="1750">
        <v>0</v>
      </c>
      <c r="AA46" s="1751"/>
      <c r="AB46" s="1754"/>
      <c r="AC46" s="215"/>
      <c r="AE46" s="70">
        <v>4</v>
      </c>
      <c r="AF46" s="70" t="s">
        <v>1196</v>
      </c>
      <c r="AG46" s="70"/>
      <c r="AK46" s="69"/>
    </row>
    <row r="47" spans="1:37" ht="21.75" customHeight="1" x14ac:dyDescent="0.35">
      <c r="A47" s="66"/>
      <c r="B47" s="482">
        <f>B46+1</f>
        <v>5</v>
      </c>
      <c r="C47" s="1825" t="s">
        <v>1197</v>
      </c>
      <c r="D47" s="1826"/>
      <c r="E47" s="1826"/>
      <c r="F47" s="1826"/>
      <c r="G47" s="1826"/>
      <c r="H47" s="1826"/>
      <c r="I47" s="1826"/>
      <c r="J47" s="1827"/>
      <c r="K47" s="1819">
        <f>P47-S47</f>
        <v>0</v>
      </c>
      <c r="L47" s="1820"/>
      <c r="M47" s="1821">
        <f>W47-Z47</f>
        <v>0</v>
      </c>
      <c r="N47" s="1822"/>
      <c r="O47" s="228"/>
      <c r="P47" s="1753">
        <v>0</v>
      </c>
      <c r="Q47" s="1751"/>
      <c r="R47" s="1751"/>
      <c r="S47" s="1750">
        <v>0</v>
      </c>
      <c r="T47" s="1751"/>
      <c r="U47" s="1752"/>
      <c r="V47" s="215"/>
      <c r="W47" s="1753">
        <v>0</v>
      </c>
      <c r="X47" s="1751"/>
      <c r="Y47" s="1751"/>
      <c r="Z47" s="1750">
        <v>0</v>
      </c>
      <c r="AA47" s="1751"/>
      <c r="AB47" s="1754"/>
      <c r="AC47" s="215"/>
      <c r="AE47" s="70">
        <v>5</v>
      </c>
      <c r="AF47" s="70" t="s">
        <v>1197</v>
      </c>
      <c r="AG47" s="70"/>
      <c r="AK47" s="69"/>
    </row>
    <row r="48" spans="1:37" ht="21.75" customHeight="1" thickBot="1" x14ac:dyDescent="0.4">
      <c r="A48" s="66"/>
      <c r="B48" s="484"/>
      <c r="C48" s="2096"/>
      <c r="D48" s="2097"/>
      <c r="E48" s="2097"/>
      <c r="F48" s="2097"/>
      <c r="G48" s="2097"/>
      <c r="H48" s="2097"/>
      <c r="I48" s="2097"/>
      <c r="J48" s="2098"/>
      <c r="K48" s="1765"/>
      <c r="L48" s="1766"/>
      <c r="M48" s="2099"/>
      <c r="N48" s="2100"/>
      <c r="O48" s="228"/>
      <c r="P48" s="1753"/>
      <c r="Q48" s="1751"/>
      <c r="R48" s="1751"/>
      <c r="S48" s="1750"/>
      <c r="T48" s="1751"/>
      <c r="U48" s="1752"/>
      <c r="V48" s="215"/>
      <c r="W48" s="1753"/>
      <c r="X48" s="1751"/>
      <c r="Y48" s="1751"/>
      <c r="Z48" s="1750"/>
      <c r="AA48" s="1751"/>
      <c r="AB48" s="1754"/>
      <c r="AC48" s="215"/>
      <c r="AE48" s="70"/>
      <c r="AF48" s="70"/>
      <c r="AG48" s="70"/>
      <c r="AK48" s="69"/>
    </row>
    <row r="49" spans="1:37" ht="21.75" customHeight="1" thickTop="1" x14ac:dyDescent="0.35">
      <c r="A49" s="66"/>
      <c r="B49" s="483"/>
      <c r="C49" s="1760" t="s">
        <v>1192</v>
      </c>
      <c r="D49" s="1761"/>
      <c r="E49" s="1761"/>
      <c r="F49" s="1761"/>
      <c r="G49" s="1761"/>
      <c r="H49" s="1761"/>
      <c r="I49" s="1761"/>
      <c r="J49" s="1762"/>
      <c r="K49" s="1840">
        <f>SUM(K43:L48)</f>
        <v>0</v>
      </c>
      <c r="L49" s="1841"/>
      <c r="M49" s="1840">
        <f>SUM(M43:N48)</f>
        <v>0</v>
      </c>
      <c r="N49" s="1841"/>
      <c r="O49" s="296"/>
      <c r="P49" s="1758">
        <f>SUM(P43:P48)</f>
        <v>0</v>
      </c>
      <c r="Q49" s="1759"/>
      <c r="R49" s="1759"/>
      <c r="S49" s="1758">
        <f>SUM(S43:U48)</f>
        <v>0</v>
      </c>
      <c r="T49" s="1759"/>
      <c r="U49" s="1759"/>
      <c r="V49" s="297"/>
      <c r="W49" s="1758">
        <f>SUM(W43:W48)</f>
        <v>0</v>
      </c>
      <c r="X49" s="1759"/>
      <c r="Y49" s="1759"/>
      <c r="Z49" s="1758">
        <f>SUM(Z43:Z48)</f>
        <v>0</v>
      </c>
      <c r="AA49" s="1759"/>
      <c r="AB49" s="1759"/>
      <c r="AC49" s="215"/>
      <c r="AE49" s="70"/>
      <c r="AF49" s="70"/>
      <c r="AG49" s="70"/>
      <c r="AK49" s="69"/>
    </row>
    <row r="50" spans="1:37" ht="21.75" customHeight="1" x14ac:dyDescent="0.3">
      <c r="A50" s="66"/>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E50" s="70"/>
      <c r="AF50" s="70"/>
      <c r="AG50" s="70"/>
      <c r="AK50" s="69"/>
    </row>
    <row r="51" spans="1:37" ht="21.75" customHeight="1" thickBot="1" x14ac:dyDescent="0.35">
      <c r="A51" s="66"/>
      <c r="B51" s="1801" t="s">
        <v>2386</v>
      </c>
      <c r="C51" s="1801"/>
      <c r="D51" s="1801"/>
      <c r="E51" s="1801"/>
      <c r="F51" s="1801"/>
      <c r="G51" s="1801"/>
      <c r="H51" s="1801"/>
      <c r="I51" s="1801"/>
      <c r="J51" s="1801"/>
      <c r="K51" s="1801"/>
      <c r="L51" s="1801"/>
      <c r="M51" s="1801"/>
      <c r="N51" s="1801"/>
      <c r="O51" s="1801"/>
      <c r="P51" s="1801"/>
      <c r="Q51" s="1801"/>
      <c r="R51" s="1801"/>
      <c r="S51" s="1801"/>
      <c r="T51" s="1801"/>
      <c r="U51" s="1801"/>
      <c r="V51" s="1801"/>
      <c r="W51" s="1801"/>
      <c r="X51" s="1801"/>
      <c r="Y51" s="1801"/>
      <c r="Z51" s="1801"/>
      <c r="AA51" s="1801"/>
      <c r="AB51" s="1801"/>
      <c r="AC51" s="1801"/>
      <c r="AE51" s="70"/>
      <c r="AF51" s="70"/>
      <c r="AG51" s="70"/>
      <c r="AK51" s="69"/>
    </row>
    <row r="52" spans="1:37" ht="21.75" customHeight="1" thickTop="1" thickBot="1" x14ac:dyDescent="0.4">
      <c r="A52" s="66"/>
      <c r="B52" s="1742" t="s">
        <v>112</v>
      </c>
      <c r="C52" s="1834" t="s">
        <v>1156</v>
      </c>
      <c r="D52" s="1835"/>
      <c r="E52" s="1835"/>
      <c r="F52" s="1835"/>
      <c r="G52" s="1835"/>
      <c r="H52" s="1835"/>
      <c r="I52" s="1835"/>
      <c r="J52" s="1836"/>
      <c r="K52" s="1830" t="str">
        <f>$L$24</f>
        <v>TA 2019</v>
      </c>
      <c r="L52" s="1831"/>
      <c r="M52" s="1830" t="str">
        <f>$L$25</f>
        <v>TA 2018</v>
      </c>
      <c r="N52" s="1831"/>
      <c r="O52" s="228"/>
      <c r="P52" s="1767" t="str">
        <f>$Q$24</f>
        <v>31 Desember 2019</v>
      </c>
      <c r="Q52" s="1768"/>
      <c r="R52" s="1768"/>
      <c r="S52" s="1768"/>
      <c r="T52" s="1768"/>
      <c r="U52" s="1768"/>
      <c r="V52" s="215"/>
      <c r="W52" s="1828" t="str">
        <f>$Q$25</f>
        <v>31 Desember 2018</v>
      </c>
      <c r="X52" s="1829"/>
      <c r="Y52" s="1829"/>
      <c r="Z52" s="1829"/>
      <c r="AA52" s="1829"/>
      <c r="AB52" s="1829"/>
      <c r="AC52" s="215"/>
      <c r="AE52" s="70"/>
      <c r="AF52" s="70"/>
      <c r="AG52" s="70"/>
      <c r="AK52" s="69"/>
    </row>
    <row r="53" spans="1:37" ht="21.75" customHeight="1" thickTop="1" x14ac:dyDescent="0.35">
      <c r="A53" s="66"/>
      <c r="B53" s="1743"/>
      <c r="C53" s="1837"/>
      <c r="D53" s="1838"/>
      <c r="E53" s="1838"/>
      <c r="F53" s="1838"/>
      <c r="G53" s="1838"/>
      <c r="H53" s="1838"/>
      <c r="I53" s="1838"/>
      <c r="J53" s="1839"/>
      <c r="K53" s="1843"/>
      <c r="L53" s="1844"/>
      <c r="M53" s="1832"/>
      <c r="N53" s="1833"/>
      <c r="O53" s="228"/>
      <c r="P53" s="1769" t="s">
        <v>1204</v>
      </c>
      <c r="Q53" s="1770"/>
      <c r="R53" s="1770"/>
      <c r="S53" s="1771" t="s">
        <v>46</v>
      </c>
      <c r="T53" s="1771"/>
      <c r="U53" s="1772"/>
      <c r="V53" s="215"/>
      <c r="W53" s="1769" t="s">
        <v>1204</v>
      </c>
      <c r="X53" s="1773"/>
      <c r="Y53" s="1773"/>
      <c r="Z53" s="1771" t="s">
        <v>46</v>
      </c>
      <c r="AA53" s="1771"/>
      <c r="AB53" s="1772"/>
      <c r="AC53" s="215"/>
      <c r="AE53" s="70"/>
      <c r="AF53" s="70"/>
      <c r="AG53" s="70"/>
      <c r="AK53" s="69"/>
    </row>
    <row r="54" spans="1:37" ht="21.75" customHeight="1" x14ac:dyDescent="0.35">
      <c r="A54" s="66"/>
      <c r="B54" s="485">
        <v>1</v>
      </c>
      <c r="C54" s="1780" t="s">
        <v>1198</v>
      </c>
      <c r="D54" s="1781"/>
      <c r="E54" s="1781"/>
      <c r="F54" s="1781"/>
      <c r="G54" s="1781"/>
      <c r="H54" s="1781"/>
      <c r="I54" s="1781"/>
      <c r="J54" s="1782"/>
      <c r="K54" s="1783">
        <f>$S$54</f>
        <v>0</v>
      </c>
      <c r="L54" s="1784"/>
      <c r="M54" s="1785">
        <f>$Z$54</f>
        <v>0</v>
      </c>
      <c r="N54" s="1786"/>
      <c r="O54" s="294"/>
      <c r="P54" s="1787">
        <v>0</v>
      </c>
      <c r="Q54" s="1775"/>
      <c r="R54" s="1775"/>
      <c r="S54" s="1774">
        <v>0</v>
      </c>
      <c r="T54" s="1775"/>
      <c r="U54" s="1788"/>
      <c r="V54" s="295"/>
      <c r="W54" s="1787">
        <v>0</v>
      </c>
      <c r="X54" s="1775"/>
      <c r="Y54" s="1775"/>
      <c r="Z54" s="1774">
        <v>0</v>
      </c>
      <c r="AA54" s="1775"/>
      <c r="AB54" s="1776"/>
      <c r="AC54" s="215"/>
      <c r="AE54" s="70">
        <v>1</v>
      </c>
      <c r="AF54" s="70" t="s">
        <v>1198</v>
      </c>
      <c r="AG54" s="70"/>
      <c r="AK54" s="69"/>
    </row>
    <row r="55" spans="1:37" ht="21.75" customHeight="1" x14ac:dyDescent="0.35">
      <c r="A55" s="66"/>
      <c r="B55" s="486">
        <f>B54+1</f>
        <v>2</v>
      </c>
      <c r="C55" s="1825" t="s">
        <v>1199</v>
      </c>
      <c r="D55" s="1826"/>
      <c r="E55" s="1826"/>
      <c r="F55" s="1826"/>
      <c r="G55" s="1826"/>
      <c r="H55" s="1826"/>
      <c r="I55" s="1826"/>
      <c r="J55" s="1827"/>
      <c r="K55" s="1819">
        <f>$S$55</f>
        <v>0</v>
      </c>
      <c r="L55" s="1820"/>
      <c r="M55" s="1821">
        <f>$Z$55</f>
        <v>0</v>
      </c>
      <c r="N55" s="1822"/>
      <c r="O55" s="228"/>
      <c r="P55" s="1753">
        <v>0</v>
      </c>
      <c r="Q55" s="1751"/>
      <c r="R55" s="1751"/>
      <c r="S55" s="1750">
        <v>0</v>
      </c>
      <c r="T55" s="1751"/>
      <c r="U55" s="1752"/>
      <c r="V55" s="215"/>
      <c r="W55" s="1753">
        <v>0</v>
      </c>
      <c r="X55" s="1751"/>
      <c r="Y55" s="1751"/>
      <c r="Z55" s="1750">
        <v>0</v>
      </c>
      <c r="AA55" s="1751"/>
      <c r="AB55" s="1754"/>
      <c r="AC55" s="215"/>
      <c r="AE55" s="70">
        <v>2</v>
      </c>
      <c r="AF55" s="70" t="s">
        <v>1199</v>
      </c>
      <c r="AG55" s="70"/>
      <c r="AK55" s="69"/>
    </row>
    <row r="56" spans="1:37" ht="21.75" customHeight="1" x14ac:dyDescent="0.35">
      <c r="A56" s="66"/>
      <c r="B56" s="486">
        <f>B55+1</f>
        <v>3</v>
      </c>
      <c r="C56" s="1825" t="s">
        <v>1200</v>
      </c>
      <c r="D56" s="1826"/>
      <c r="E56" s="1826"/>
      <c r="F56" s="1826"/>
      <c r="G56" s="1826"/>
      <c r="H56" s="1826"/>
      <c r="I56" s="1826"/>
      <c r="J56" s="1827"/>
      <c r="K56" s="1819">
        <f>$S$56</f>
        <v>0</v>
      </c>
      <c r="L56" s="1820"/>
      <c r="M56" s="1821">
        <f>$Z$56</f>
        <v>0</v>
      </c>
      <c r="N56" s="1822"/>
      <c r="O56" s="228"/>
      <c r="P56" s="1753">
        <v>0</v>
      </c>
      <c r="Q56" s="1751"/>
      <c r="R56" s="1751"/>
      <c r="S56" s="1750">
        <v>0</v>
      </c>
      <c r="T56" s="1751"/>
      <c r="U56" s="1752"/>
      <c r="V56" s="215"/>
      <c r="W56" s="1753">
        <v>0</v>
      </c>
      <c r="X56" s="1751"/>
      <c r="Y56" s="1751"/>
      <c r="Z56" s="1750">
        <v>0</v>
      </c>
      <c r="AA56" s="1751"/>
      <c r="AB56" s="1754"/>
      <c r="AC56" s="215"/>
      <c r="AE56" s="70">
        <v>3</v>
      </c>
      <c r="AF56" s="70" t="s">
        <v>1200</v>
      </c>
      <c r="AG56" s="70"/>
      <c r="AK56" s="69"/>
    </row>
    <row r="57" spans="1:37" ht="21.75" customHeight="1" thickBot="1" x14ac:dyDescent="0.4">
      <c r="A57" s="66"/>
      <c r="B57" s="486"/>
      <c r="C57" s="2096"/>
      <c r="D57" s="2097"/>
      <c r="E57" s="2097"/>
      <c r="F57" s="2097"/>
      <c r="G57" s="2097"/>
      <c r="H57" s="2097"/>
      <c r="I57" s="2097"/>
      <c r="J57" s="2098"/>
      <c r="K57" s="1765"/>
      <c r="L57" s="1766"/>
      <c r="M57" s="2099"/>
      <c r="N57" s="2100"/>
      <c r="O57" s="228"/>
      <c r="P57" s="1753"/>
      <c r="Q57" s="1751"/>
      <c r="R57" s="1751"/>
      <c r="S57" s="1750"/>
      <c r="T57" s="1751"/>
      <c r="U57" s="1752"/>
      <c r="V57" s="215"/>
      <c r="W57" s="1753"/>
      <c r="X57" s="1751"/>
      <c r="Y57" s="1751"/>
      <c r="Z57" s="1750"/>
      <c r="AA57" s="1751"/>
      <c r="AB57" s="1754"/>
      <c r="AC57" s="215"/>
      <c r="AE57" s="70"/>
      <c r="AG57" s="70"/>
      <c r="AK57" s="69"/>
    </row>
    <row r="58" spans="1:37" ht="21.75" customHeight="1" thickTop="1" x14ac:dyDescent="0.35">
      <c r="A58" s="66"/>
      <c r="B58" s="483"/>
      <c r="C58" s="1760" t="s">
        <v>1155</v>
      </c>
      <c r="D58" s="1761"/>
      <c r="E58" s="1761"/>
      <c r="F58" s="1761"/>
      <c r="G58" s="1761"/>
      <c r="H58" s="1761"/>
      <c r="I58" s="1761"/>
      <c r="J58" s="1762"/>
      <c r="K58" s="1840">
        <f>SUM(K54:L57)</f>
        <v>0</v>
      </c>
      <c r="L58" s="1841"/>
      <c r="M58" s="1840">
        <f>SUM(M54:N57)</f>
        <v>0</v>
      </c>
      <c r="N58" s="1841"/>
      <c r="O58" s="296"/>
      <c r="P58" s="1758">
        <f>SUM(P54:P57)</f>
        <v>0</v>
      </c>
      <c r="Q58" s="1759"/>
      <c r="R58" s="1759"/>
      <c r="S58" s="1758">
        <f>SUM(S54:U57)</f>
        <v>0</v>
      </c>
      <c r="T58" s="1759"/>
      <c r="U58" s="1759"/>
      <c r="V58" s="297"/>
      <c r="W58" s="1758">
        <f>SUM(W54:W57)</f>
        <v>0</v>
      </c>
      <c r="X58" s="1759"/>
      <c r="Y58" s="1759"/>
      <c r="Z58" s="1758">
        <f>SUM(Z54:Z57)</f>
        <v>0</v>
      </c>
      <c r="AA58" s="1759"/>
      <c r="AB58" s="1759"/>
      <c r="AC58" s="215"/>
      <c r="AE58" s="70"/>
      <c r="AG58" s="70"/>
      <c r="AK58" s="69"/>
    </row>
    <row r="59" spans="1:37" ht="21.75" customHeight="1" x14ac:dyDescent="0.3">
      <c r="A59" s="66"/>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E59" s="70"/>
      <c r="AG59" s="70"/>
      <c r="AK59" s="69"/>
    </row>
    <row r="60" spans="1:37" ht="21.75" customHeight="1" thickBot="1" x14ac:dyDescent="0.35">
      <c r="A60" s="66"/>
      <c r="B60" s="1801" t="s">
        <v>2387</v>
      </c>
      <c r="C60" s="1801"/>
      <c r="D60" s="1801"/>
      <c r="E60" s="1801"/>
      <c r="F60" s="1801"/>
      <c r="G60" s="1801"/>
      <c r="H60" s="1801"/>
      <c r="I60" s="1801"/>
      <c r="J60" s="1801"/>
      <c r="K60" s="1801"/>
      <c r="L60" s="1801"/>
      <c r="M60" s="1801"/>
      <c r="N60" s="1801"/>
      <c r="O60" s="1801"/>
      <c r="P60" s="1801"/>
      <c r="Q60" s="1801"/>
      <c r="R60" s="1801"/>
      <c r="S60" s="1801"/>
      <c r="T60" s="1801"/>
      <c r="U60" s="1801"/>
      <c r="V60" s="1801"/>
      <c r="W60" s="1801"/>
      <c r="X60" s="1801"/>
      <c r="Y60" s="1801"/>
      <c r="Z60" s="1801"/>
      <c r="AA60" s="1801"/>
      <c r="AB60" s="1801"/>
      <c r="AC60" s="1801"/>
      <c r="AE60" s="70"/>
      <c r="AG60" s="70"/>
      <c r="AK60" s="69"/>
    </row>
    <row r="61" spans="1:37" ht="21.75" customHeight="1" thickTop="1" thickBot="1" x14ac:dyDescent="0.4">
      <c r="A61" s="66"/>
      <c r="B61" s="1742" t="s">
        <v>112</v>
      </c>
      <c r="C61" s="1834" t="s">
        <v>1156</v>
      </c>
      <c r="D61" s="1835"/>
      <c r="E61" s="1835"/>
      <c r="F61" s="1835"/>
      <c r="G61" s="1835"/>
      <c r="H61" s="1835"/>
      <c r="I61" s="1835"/>
      <c r="J61" s="1836"/>
      <c r="K61" s="1830" t="str">
        <f>$L$24</f>
        <v>TA 2019</v>
      </c>
      <c r="L61" s="1831"/>
      <c r="M61" s="1830" t="str">
        <f>$L$25</f>
        <v>TA 2018</v>
      </c>
      <c r="N61" s="1831"/>
      <c r="O61" s="228"/>
      <c r="P61" s="1767" t="str">
        <f>$Q$24</f>
        <v>31 Desember 2019</v>
      </c>
      <c r="Q61" s="1768"/>
      <c r="R61" s="1768"/>
      <c r="S61" s="1768"/>
      <c r="T61" s="1768"/>
      <c r="U61" s="1768"/>
      <c r="V61" s="215"/>
      <c r="W61" s="1828" t="str">
        <f>$Q$25</f>
        <v>31 Desember 2018</v>
      </c>
      <c r="X61" s="1829"/>
      <c r="Y61" s="1829"/>
      <c r="Z61" s="1829"/>
      <c r="AA61" s="1829"/>
      <c r="AB61" s="1829"/>
      <c r="AC61" s="215"/>
      <c r="AE61" s="70"/>
      <c r="AG61" s="70"/>
      <c r="AK61" s="69"/>
    </row>
    <row r="62" spans="1:37" ht="21.75" customHeight="1" thickTop="1" x14ac:dyDescent="0.35">
      <c r="A62" s="66"/>
      <c r="B62" s="1743"/>
      <c r="C62" s="1837"/>
      <c r="D62" s="1838"/>
      <c r="E62" s="1838"/>
      <c r="F62" s="1838"/>
      <c r="G62" s="1838"/>
      <c r="H62" s="1838"/>
      <c r="I62" s="1838"/>
      <c r="J62" s="1839"/>
      <c r="K62" s="1843"/>
      <c r="L62" s="1844"/>
      <c r="M62" s="1832"/>
      <c r="N62" s="1833"/>
      <c r="O62" s="228"/>
      <c r="P62" s="1769" t="s">
        <v>174</v>
      </c>
      <c r="Q62" s="1770"/>
      <c r="R62" s="1770"/>
      <c r="S62" s="1771" t="s">
        <v>175</v>
      </c>
      <c r="T62" s="1771"/>
      <c r="U62" s="1772"/>
      <c r="V62" s="215"/>
      <c r="W62" s="1769" t="s">
        <v>174</v>
      </c>
      <c r="X62" s="1773"/>
      <c r="Y62" s="1773"/>
      <c r="Z62" s="1771" t="s">
        <v>175</v>
      </c>
      <c r="AA62" s="1771"/>
      <c r="AB62" s="1772"/>
      <c r="AC62" s="215"/>
      <c r="AE62" s="70">
        <v>1</v>
      </c>
      <c r="AF62" s="68" t="s">
        <v>251</v>
      </c>
      <c r="AG62" s="70"/>
      <c r="AK62" s="69"/>
    </row>
    <row r="63" spans="1:37" ht="21.75" customHeight="1" x14ac:dyDescent="0.35">
      <c r="A63" s="66"/>
      <c r="B63" s="485">
        <v>1</v>
      </c>
      <c r="C63" s="1780" t="s">
        <v>251</v>
      </c>
      <c r="D63" s="1781"/>
      <c r="E63" s="1781"/>
      <c r="F63" s="1781"/>
      <c r="G63" s="1781"/>
      <c r="H63" s="1781"/>
      <c r="I63" s="1781"/>
      <c r="J63" s="1782"/>
      <c r="K63" s="1783">
        <f>P63-S63</f>
        <v>0</v>
      </c>
      <c r="L63" s="1784"/>
      <c r="M63" s="1785">
        <f>W63-Z63</f>
        <v>0</v>
      </c>
      <c r="N63" s="1786"/>
      <c r="O63" s="294"/>
      <c r="P63" s="1787">
        <v>0</v>
      </c>
      <c r="Q63" s="1775"/>
      <c r="R63" s="1775"/>
      <c r="S63" s="1774">
        <v>0</v>
      </c>
      <c r="T63" s="1775"/>
      <c r="U63" s="1788"/>
      <c r="V63" s="295"/>
      <c r="W63" s="1787">
        <v>0</v>
      </c>
      <c r="X63" s="1775"/>
      <c r="Y63" s="1775"/>
      <c r="Z63" s="1774">
        <v>0</v>
      </c>
      <c r="AA63" s="1775"/>
      <c r="AB63" s="1776"/>
      <c r="AC63" s="215"/>
      <c r="AE63" s="70"/>
      <c r="AG63" s="70"/>
      <c r="AK63" s="69"/>
    </row>
    <row r="64" spans="1:37" ht="21.75" customHeight="1" thickBot="1" x14ac:dyDescent="0.4">
      <c r="A64" s="66"/>
      <c r="B64" s="486"/>
      <c r="C64" s="2096"/>
      <c r="D64" s="2097"/>
      <c r="E64" s="2097"/>
      <c r="F64" s="2097"/>
      <c r="G64" s="2097"/>
      <c r="H64" s="2097"/>
      <c r="I64" s="2097"/>
      <c r="J64" s="2098"/>
      <c r="K64" s="1765"/>
      <c r="L64" s="1766"/>
      <c r="M64" s="2099"/>
      <c r="N64" s="2100"/>
      <c r="O64" s="228"/>
      <c r="P64" s="1753"/>
      <c r="Q64" s="1751"/>
      <c r="R64" s="1751"/>
      <c r="S64" s="1750"/>
      <c r="T64" s="1751"/>
      <c r="U64" s="1752"/>
      <c r="V64" s="215"/>
      <c r="W64" s="1753"/>
      <c r="X64" s="1751"/>
      <c r="Y64" s="1751"/>
      <c r="Z64" s="1750"/>
      <c r="AA64" s="1751"/>
      <c r="AB64" s="1754"/>
      <c r="AC64" s="215"/>
      <c r="AE64" s="70"/>
      <c r="AG64" s="70"/>
      <c r="AK64" s="69"/>
    </row>
    <row r="65" spans="1:37" ht="21.75" customHeight="1" thickTop="1" x14ac:dyDescent="0.35">
      <c r="A65" s="66"/>
      <c r="B65" s="483"/>
      <c r="C65" s="1760" t="s">
        <v>1155</v>
      </c>
      <c r="D65" s="1761"/>
      <c r="E65" s="1761"/>
      <c r="F65" s="1761"/>
      <c r="G65" s="1761"/>
      <c r="H65" s="1761"/>
      <c r="I65" s="1761"/>
      <c r="J65" s="1762"/>
      <c r="K65" s="1840">
        <f>SUM(K63:L64)</f>
        <v>0</v>
      </c>
      <c r="L65" s="1841"/>
      <c r="M65" s="1840">
        <f>SUM(M63:N64)</f>
        <v>0</v>
      </c>
      <c r="N65" s="1841"/>
      <c r="O65" s="296"/>
      <c r="P65" s="1758">
        <f>SUM(P63:P64)</f>
        <v>0</v>
      </c>
      <c r="Q65" s="1759"/>
      <c r="R65" s="1759"/>
      <c r="S65" s="1758">
        <f>SUM(S63:U64)</f>
        <v>0</v>
      </c>
      <c r="T65" s="1759"/>
      <c r="U65" s="1759"/>
      <c r="V65" s="297"/>
      <c r="W65" s="1758">
        <f>SUM(W63:W64)</f>
        <v>0</v>
      </c>
      <c r="X65" s="1759"/>
      <c r="Y65" s="1759"/>
      <c r="Z65" s="1758">
        <f>SUM(Z63:Z64)</f>
        <v>0</v>
      </c>
      <c r="AA65" s="1759"/>
      <c r="AB65" s="1759"/>
      <c r="AC65" s="215"/>
      <c r="AE65" s="70"/>
      <c r="AG65" s="70"/>
      <c r="AK65" s="69"/>
    </row>
    <row r="66" spans="1:37" ht="21.75" customHeight="1" x14ac:dyDescent="0.3">
      <c r="A66" s="66"/>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E66" s="70"/>
      <c r="AG66" s="70"/>
      <c r="AK66" s="69"/>
    </row>
    <row r="67" spans="1:37" ht="15" customHeight="1" x14ac:dyDescent="0.3">
      <c r="A67" s="66"/>
      <c r="B67" s="1728" t="s">
        <v>1202</v>
      </c>
      <c r="C67" s="1728"/>
      <c r="D67" s="1728"/>
      <c r="E67" s="1728"/>
      <c r="F67" s="1728"/>
      <c r="G67" s="1728"/>
      <c r="H67" s="1728"/>
      <c r="I67" s="1728"/>
      <c r="J67" s="1728"/>
      <c r="K67" s="1728"/>
      <c r="L67" s="1728"/>
      <c r="M67" s="1728"/>
      <c r="N67" s="293"/>
      <c r="O67" s="293"/>
      <c r="P67" s="293"/>
      <c r="Q67" s="293"/>
      <c r="R67" s="293"/>
      <c r="S67" s="293"/>
      <c r="T67" s="293"/>
      <c r="U67" s="293"/>
      <c r="V67" s="293"/>
      <c r="W67" s="293"/>
      <c r="X67" s="212"/>
      <c r="Y67" s="212"/>
      <c r="Z67" s="212"/>
      <c r="AA67" s="212"/>
      <c r="AB67" s="212"/>
      <c r="AC67" s="212"/>
      <c r="AD67" s="72"/>
      <c r="AE67" s="70"/>
      <c r="AG67" s="70"/>
      <c r="AH67" s="73"/>
      <c r="AI67" s="72"/>
    </row>
    <row r="68" spans="1:37" ht="15" customHeight="1" x14ac:dyDescent="0.3">
      <c r="A68" s="66"/>
      <c r="B68" s="2102" t="s">
        <v>2050</v>
      </c>
      <c r="C68" s="2102"/>
      <c r="D68" s="2102"/>
      <c r="E68" s="2102"/>
      <c r="F68" s="2102"/>
      <c r="G68" s="2102"/>
      <c r="H68" s="2102"/>
      <c r="I68" s="2102"/>
      <c r="J68" s="2102"/>
      <c r="K68" s="2102"/>
      <c r="L68" s="2102"/>
      <c r="M68" s="2102"/>
      <c r="N68" s="293"/>
      <c r="O68" s="293"/>
      <c r="P68" s="293"/>
      <c r="Q68" s="293"/>
      <c r="R68" s="293"/>
      <c r="S68" s="293"/>
      <c r="T68" s="293"/>
      <c r="U68" s="293"/>
      <c r="V68" s="293"/>
      <c r="W68" s="293"/>
      <c r="X68" s="212"/>
      <c r="Y68" s="212"/>
      <c r="Z68" s="212"/>
      <c r="AA68" s="212"/>
      <c r="AB68" s="212"/>
      <c r="AC68" s="212"/>
      <c r="AD68" s="72"/>
      <c r="AE68" s="70"/>
      <c r="AG68" s="70"/>
      <c r="AH68" s="73"/>
      <c r="AI68" s="72"/>
    </row>
    <row r="69" spans="1:37" ht="16" thickBot="1" x14ac:dyDescent="0.4">
      <c r="A69" s="66"/>
      <c r="B69" s="1894" t="str">
        <f>$Q$24</f>
        <v>31 Desember 2019</v>
      </c>
      <c r="C69" s="1722"/>
      <c r="D69" s="1722"/>
      <c r="E69" s="1722"/>
      <c r="F69" s="1722"/>
      <c r="G69" s="1722"/>
      <c r="H69" s="1722"/>
      <c r="I69" s="230"/>
      <c r="J69" s="1894" t="str">
        <f>$Q$25</f>
        <v>31 Desember 2018</v>
      </c>
      <c r="K69" s="1722"/>
      <c r="L69" s="1722"/>
      <c r="M69" s="1722"/>
      <c r="N69" s="226"/>
      <c r="O69" s="227"/>
      <c r="P69" s="228"/>
      <c r="Q69" s="228"/>
      <c r="R69" s="228"/>
      <c r="S69" s="228"/>
      <c r="T69" s="229"/>
      <c r="U69" s="229"/>
      <c r="V69" s="229"/>
      <c r="W69" s="229"/>
      <c r="X69" s="215"/>
      <c r="Y69" s="215"/>
      <c r="Z69" s="215"/>
      <c r="AA69" s="215"/>
      <c r="AB69" s="215"/>
      <c r="AC69" s="215"/>
      <c r="AE69" s="70"/>
      <c r="AG69" s="70"/>
    </row>
    <row r="70" spans="1:37" ht="30.75" customHeight="1" thickTop="1" x14ac:dyDescent="0.35">
      <c r="A70" s="66"/>
      <c r="B70" s="1668" t="s">
        <v>182</v>
      </c>
      <c r="C70" s="1669"/>
      <c r="D70" s="1669"/>
      <c r="E70" s="1669"/>
      <c r="F70" s="1669"/>
      <c r="G70" s="1669"/>
      <c r="H70" s="1669"/>
      <c r="I70" s="1669"/>
      <c r="J70" s="1669"/>
      <c r="K70" s="1669"/>
      <c r="L70" s="1669"/>
      <c r="M70" s="1802"/>
      <c r="N70" s="213"/>
      <c r="O70" s="214"/>
      <c r="P70" s="80" t="s">
        <v>259</v>
      </c>
      <c r="Q70" s="75"/>
      <c r="R70" s="75"/>
      <c r="S70" s="66"/>
      <c r="T70" s="66"/>
      <c r="U70" s="66"/>
      <c r="V70" s="66"/>
      <c r="W70" s="66"/>
      <c r="X70" s="66"/>
      <c r="Y70" s="66"/>
      <c r="Z70" s="66"/>
      <c r="AA70" s="66"/>
      <c r="AB70" s="66"/>
      <c r="AC70" s="66"/>
      <c r="AE70" s="70"/>
      <c r="AG70" s="70"/>
      <c r="AH70" s="76"/>
    </row>
    <row r="71" spans="1:37" ht="24" customHeight="1" x14ac:dyDescent="0.35">
      <c r="A71" s="66"/>
      <c r="B71" s="1710"/>
      <c r="C71" s="1803"/>
      <c r="D71" s="1584" t="s">
        <v>46</v>
      </c>
      <c r="E71" s="1713"/>
      <c r="F71" s="1585"/>
      <c r="G71" s="1189" t="s">
        <v>175</v>
      </c>
      <c r="H71" s="1190" t="s">
        <v>183</v>
      </c>
      <c r="I71" s="1191"/>
      <c r="J71" s="1584" t="s">
        <v>46</v>
      </c>
      <c r="K71" s="1713"/>
      <c r="L71" s="1189" t="s">
        <v>175</v>
      </c>
      <c r="M71" s="1189" t="s">
        <v>183</v>
      </c>
      <c r="N71" s="232"/>
      <c r="O71" s="214"/>
      <c r="P71" s="80" t="s">
        <v>260</v>
      </c>
      <c r="Q71" s="75"/>
      <c r="R71" s="75"/>
      <c r="S71" s="66"/>
      <c r="T71" s="66"/>
      <c r="U71" s="66"/>
      <c r="V71" s="1635" t="s">
        <v>2388</v>
      </c>
      <c r="W71" s="1636"/>
      <c r="X71" s="1636"/>
      <c r="Y71" s="1636"/>
      <c r="Z71" s="1636"/>
      <c r="AA71" s="1636"/>
      <c r="AB71" s="1636"/>
      <c r="AC71" s="1636"/>
      <c r="AE71" s="70"/>
      <c r="AG71" s="70"/>
    </row>
    <row r="72" spans="1:37" ht="15.5" x14ac:dyDescent="0.35">
      <c r="A72" s="66"/>
      <c r="B72" s="1711" t="s">
        <v>187</v>
      </c>
      <c r="C72" s="1712"/>
      <c r="D72" s="1586">
        <v>1938588200</v>
      </c>
      <c r="E72" s="1587"/>
      <c r="F72" s="1588"/>
      <c r="G72" s="1202"/>
      <c r="H72" s="1194">
        <f>D72-G72</f>
        <v>1938588200</v>
      </c>
      <c r="I72" s="1195"/>
      <c r="J72" s="1804">
        <v>1959291100</v>
      </c>
      <c r="K72" s="1805"/>
      <c r="L72" s="1467"/>
      <c r="M72" s="1203">
        <f t="shared" ref="M72:M134" si="3">J72-L72</f>
        <v>1959291100</v>
      </c>
      <c r="N72" s="213"/>
      <c r="O72" s="215"/>
      <c r="P72" s="80" t="s">
        <v>261</v>
      </c>
      <c r="Q72" s="75"/>
      <c r="R72" s="75"/>
      <c r="S72" s="66"/>
      <c r="T72" s="66"/>
      <c r="U72" s="66"/>
      <c r="V72" s="1637" t="s">
        <v>2389</v>
      </c>
      <c r="W72" s="1637"/>
      <c r="X72" s="1637"/>
      <c r="Y72" s="1637"/>
      <c r="Z72" s="1637"/>
      <c r="AA72" s="1637"/>
      <c r="AB72" s="1637"/>
      <c r="AC72" s="1636"/>
      <c r="AE72" s="70"/>
      <c r="AF72" s="2101">
        <v>511111</v>
      </c>
      <c r="AG72" s="2101"/>
    </row>
    <row r="73" spans="1:37" ht="15.5" x14ac:dyDescent="0.35">
      <c r="A73" s="66"/>
      <c r="B73" s="1711" t="s">
        <v>188</v>
      </c>
      <c r="C73" s="1712"/>
      <c r="D73" s="1723">
        <v>28929</v>
      </c>
      <c r="E73" s="1724"/>
      <c r="F73" s="1725"/>
      <c r="G73" s="1204">
        <v>2548</v>
      </c>
      <c r="H73" s="1194">
        <f t="shared" ref="H73:H134" si="4">D73-G73</f>
        <v>26381</v>
      </c>
      <c r="I73" s="1195"/>
      <c r="J73" s="1465">
        <v>29343</v>
      </c>
      <c r="K73" s="1466"/>
      <c r="L73" s="1468">
        <v>834</v>
      </c>
      <c r="M73" s="1203">
        <f t="shared" si="3"/>
        <v>28509</v>
      </c>
      <c r="N73" s="213"/>
      <c r="O73" s="216"/>
      <c r="P73" s="80" t="s">
        <v>262</v>
      </c>
      <c r="Q73" s="75"/>
      <c r="R73" s="75"/>
      <c r="S73" s="66"/>
      <c r="T73" s="66"/>
      <c r="U73" s="66"/>
      <c r="V73" s="1637" t="s">
        <v>2390</v>
      </c>
      <c r="W73" s="1637"/>
      <c r="X73" s="1637"/>
      <c r="Y73" s="1637"/>
      <c r="Z73" s="1637"/>
      <c r="AA73" s="1637"/>
      <c r="AB73" s="1637"/>
      <c r="AC73" s="1636"/>
      <c r="AE73" s="70"/>
      <c r="AF73" s="2101">
        <v>511119</v>
      </c>
      <c r="AG73" s="2101"/>
    </row>
    <row r="74" spans="1:37" ht="20.25" customHeight="1" x14ac:dyDescent="0.35">
      <c r="A74" s="66"/>
      <c r="B74" s="1711" t="s">
        <v>189</v>
      </c>
      <c r="C74" s="1712"/>
      <c r="D74" s="1723">
        <v>134452810</v>
      </c>
      <c r="E74" s="1724"/>
      <c r="F74" s="1725"/>
      <c r="G74" s="1204"/>
      <c r="H74" s="1194">
        <f t="shared" si="4"/>
        <v>134452810</v>
      </c>
      <c r="I74" s="1198"/>
      <c r="J74" s="2104">
        <v>136176960</v>
      </c>
      <c r="K74" s="2105"/>
      <c r="L74" s="1468"/>
      <c r="M74" s="1203">
        <f t="shared" si="3"/>
        <v>136176960</v>
      </c>
      <c r="N74" s="213"/>
      <c r="O74" s="216"/>
      <c r="P74" s="80" t="str">
        <f>"Saldo UP per "&amp;$B$69</f>
        <v>Saldo UP per 31 Desember 2019</v>
      </c>
      <c r="Q74" s="75"/>
      <c r="R74" s="75"/>
      <c r="S74" s="66"/>
      <c r="T74" s="66"/>
      <c r="U74" s="66"/>
      <c r="V74" s="1638">
        <v>0</v>
      </c>
      <c r="W74" s="1638"/>
      <c r="X74" s="1638"/>
      <c r="Y74" s="1638"/>
      <c r="Z74" s="1638"/>
      <c r="AA74" s="1638"/>
      <c r="AB74" s="1638"/>
      <c r="AC74" s="1639"/>
      <c r="AE74" s="70"/>
      <c r="AF74" s="2101">
        <v>511121</v>
      </c>
      <c r="AG74" s="2101"/>
    </row>
    <row r="75" spans="1:37" ht="17.25" customHeight="1" x14ac:dyDescent="0.35">
      <c r="A75" s="66"/>
      <c r="B75" s="1711" t="s">
        <v>190</v>
      </c>
      <c r="C75" s="1712"/>
      <c r="D75" s="1723">
        <v>38515574</v>
      </c>
      <c r="E75" s="1724"/>
      <c r="F75" s="1725"/>
      <c r="G75" s="1204"/>
      <c r="H75" s="1194">
        <f t="shared" si="4"/>
        <v>38515574</v>
      </c>
      <c r="I75" s="1199"/>
      <c r="J75" s="2104">
        <v>36866956</v>
      </c>
      <c r="K75" s="2105"/>
      <c r="L75" s="1468"/>
      <c r="M75" s="1203">
        <f t="shared" si="3"/>
        <v>36866956</v>
      </c>
      <c r="N75" s="213"/>
      <c r="O75" s="216"/>
      <c r="P75" s="235"/>
      <c r="Q75" s="217"/>
      <c r="R75" s="217"/>
      <c r="S75" s="215"/>
      <c r="T75" s="215"/>
      <c r="U75" s="215"/>
      <c r="V75" s="1744"/>
      <c r="W75" s="1744"/>
      <c r="X75" s="1744"/>
      <c r="Y75" s="1744"/>
      <c r="Z75" s="1744"/>
      <c r="AA75" s="1744"/>
      <c r="AB75" s="1744"/>
      <c r="AC75" s="215"/>
      <c r="AE75" s="70"/>
      <c r="AF75" s="2101">
        <v>511122</v>
      </c>
      <c r="AG75" s="2101"/>
    </row>
    <row r="76" spans="1:37" ht="16.5" customHeight="1" thickBot="1" x14ac:dyDescent="0.4">
      <c r="A76" s="66"/>
      <c r="B76" s="1711" t="s">
        <v>191</v>
      </c>
      <c r="C76" s="1712"/>
      <c r="D76" s="1723">
        <v>25200000</v>
      </c>
      <c r="E76" s="1724"/>
      <c r="F76" s="1725"/>
      <c r="G76" s="1204"/>
      <c r="H76" s="1194">
        <f t="shared" si="4"/>
        <v>25200000</v>
      </c>
      <c r="I76" s="1199"/>
      <c r="J76" s="1465">
        <v>25200000</v>
      </c>
      <c r="K76" s="1466"/>
      <c r="L76" s="1468"/>
      <c r="M76" s="1203">
        <f t="shared" si="3"/>
        <v>25200000</v>
      </c>
      <c r="N76" s="213"/>
      <c r="O76" s="216"/>
      <c r="P76" s="80" t="s">
        <v>263</v>
      </c>
      <c r="Q76" s="75"/>
      <c r="R76" s="75"/>
      <c r="S76" s="66"/>
      <c r="T76" s="66"/>
      <c r="U76" s="66"/>
      <c r="V76" s="66"/>
      <c r="W76" s="66"/>
      <c r="X76" s="66"/>
      <c r="Y76" s="66"/>
      <c r="Z76" s="66"/>
      <c r="AA76" s="66"/>
      <c r="AB76" s="66"/>
      <c r="AC76" s="66"/>
      <c r="AE76" s="70"/>
      <c r="AF76" s="2101">
        <v>511123</v>
      </c>
      <c r="AG76" s="2101"/>
    </row>
    <row r="77" spans="1:37" ht="16.5" customHeight="1" x14ac:dyDescent="0.35">
      <c r="A77" s="66"/>
      <c r="B77" s="1711">
        <v>511124</v>
      </c>
      <c r="C77" s="1712"/>
      <c r="D77" s="1723">
        <v>776550000</v>
      </c>
      <c r="E77" s="1724"/>
      <c r="F77" s="1725"/>
      <c r="G77" s="1204"/>
      <c r="H77" s="1194">
        <f t="shared" si="4"/>
        <v>776550000</v>
      </c>
      <c r="I77" s="1200"/>
      <c r="J77" s="1465">
        <v>817100000</v>
      </c>
      <c r="K77" s="1466"/>
      <c r="L77" s="1468"/>
      <c r="M77" s="1203">
        <f t="shared" si="3"/>
        <v>817100000</v>
      </c>
      <c r="N77" s="213"/>
      <c r="O77" s="287" t="s">
        <v>61</v>
      </c>
      <c r="P77" s="288" t="s">
        <v>260</v>
      </c>
      <c r="Q77" s="289"/>
      <c r="R77" s="289"/>
      <c r="S77" s="290"/>
      <c r="T77" s="290"/>
      <c r="U77" s="290"/>
      <c r="V77" s="1745" t="s">
        <v>113</v>
      </c>
      <c r="W77" s="1746"/>
      <c r="X77" s="1746"/>
      <c r="Y77" s="1746"/>
      <c r="Z77" s="1746"/>
      <c r="AA77" s="1746"/>
      <c r="AB77" s="1746"/>
      <c r="AC77" s="601"/>
      <c r="AE77" s="70"/>
      <c r="AF77" s="2101">
        <v>511124</v>
      </c>
      <c r="AG77" s="2101"/>
    </row>
    <row r="78" spans="1:37" ht="16.5" customHeight="1" x14ac:dyDescent="0.35">
      <c r="A78" s="66"/>
      <c r="B78" s="1711" t="s">
        <v>193</v>
      </c>
      <c r="C78" s="1712"/>
      <c r="D78" s="1723">
        <v>39843413</v>
      </c>
      <c r="E78" s="1724"/>
      <c r="F78" s="1725"/>
      <c r="G78" s="1204"/>
      <c r="H78" s="1194">
        <f t="shared" si="4"/>
        <v>39843413</v>
      </c>
      <c r="I78" s="1195"/>
      <c r="J78" s="1465">
        <v>37367836</v>
      </c>
      <c r="K78" s="1466"/>
      <c r="L78" s="1468"/>
      <c r="M78" s="1203">
        <f t="shared" si="3"/>
        <v>37367836</v>
      </c>
      <c r="N78" s="213"/>
      <c r="O78" s="229"/>
      <c r="P78" s="80" t="s">
        <v>261</v>
      </c>
      <c r="Q78" s="75"/>
      <c r="R78" s="75"/>
      <c r="S78" s="66"/>
      <c r="T78" s="66"/>
      <c r="U78" s="66"/>
      <c r="V78" s="1747" t="s">
        <v>113</v>
      </c>
      <c r="W78" s="1747"/>
      <c r="X78" s="1747"/>
      <c r="Y78" s="1747"/>
      <c r="Z78" s="1747"/>
      <c r="AA78" s="1747"/>
      <c r="AB78" s="1747"/>
      <c r="AC78" s="602"/>
      <c r="AE78" s="70"/>
      <c r="AF78" s="2101">
        <v>511125</v>
      </c>
      <c r="AG78" s="2101"/>
    </row>
    <row r="79" spans="1:37" ht="16.5" customHeight="1" x14ac:dyDescent="0.35">
      <c r="A79" s="66"/>
      <c r="B79" s="1711" t="s">
        <v>194</v>
      </c>
      <c r="C79" s="1712"/>
      <c r="D79" s="1723">
        <v>84731400</v>
      </c>
      <c r="E79" s="1724"/>
      <c r="F79" s="1725"/>
      <c r="G79" s="1204"/>
      <c r="H79" s="1194">
        <f t="shared" si="4"/>
        <v>84731400</v>
      </c>
      <c r="I79" s="1195"/>
      <c r="J79" s="1465">
        <v>88497240</v>
      </c>
      <c r="K79" s="1466"/>
      <c r="L79" s="1468"/>
      <c r="M79" s="1203">
        <f t="shared" si="3"/>
        <v>88497240</v>
      </c>
      <c r="N79" s="213"/>
      <c r="O79" s="229"/>
      <c r="P79" s="80" t="s">
        <v>262</v>
      </c>
      <c r="Q79" s="75"/>
      <c r="R79" s="75"/>
      <c r="S79" s="75"/>
      <c r="T79" s="66"/>
      <c r="U79" s="66"/>
      <c r="V79" s="1747" t="s">
        <v>113</v>
      </c>
      <c r="W79" s="1747"/>
      <c r="X79" s="1747"/>
      <c r="Y79" s="1747"/>
      <c r="Z79" s="1747"/>
      <c r="AA79" s="1747"/>
      <c r="AB79" s="1747"/>
      <c r="AC79" s="602"/>
      <c r="AE79" s="70"/>
      <c r="AF79" s="2101">
        <v>511126</v>
      </c>
      <c r="AG79" s="2101"/>
    </row>
    <row r="80" spans="1:37" ht="16.5" customHeight="1" thickBot="1" x14ac:dyDescent="0.4">
      <c r="A80" s="66"/>
      <c r="B80" s="1711" t="s">
        <v>1543</v>
      </c>
      <c r="C80" s="1712"/>
      <c r="D80" s="1723"/>
      <c r="E80" s="1724"/>
      <c r="F80" s="1725"/>
      <c r="G80" s="1204"/>
      <c r="H80" s="1194">
        <f t="shared" si="4"/>
        <v>0</v>
      </c>
      <c r="I80" s="1195"/>
      <c r="J80" s="1465"/>
      <c r="K80" s="1466"/>
      <c r="L80" s="1468"/>
      <c r="M80" s="1203">
        <f t="shared" si="3"/>
        <v>0</v>
      </c>
      <c r="N80" s="213"/>
      <c r="O80" s="229"/>
      <c r="P80" s="80" t="str">
        <f>"Saldo per "&amp;$B$69</f>
        <v>Saldo per 31 Desember 2019</v>
      </c>
      <c r="Q80" s="75"/>
      <c r="R80" s="75"/>
      <c r="S80" s="75"/>
      <c r="T80" s="66"/>
      <c r="U80" s="66"/>
      <c r="V80" s="1748">
        <v>0</v>
      </c>
      <c r="W80" s="1748"/>
      <c r="X80" s="1748"/>
      <c r="Y80" s="1748"/>
      <c r="Z80" s="1748"/>
      <c r="AA80" s="1748"/>
      <c r="AB80" s="1748"/>
      <c r="AC80" s="602"/>
      <c r="AE80" s="70"/>
      <c r="AF80" s="2101">
        <v>511129</v>
      </c>
      <c r="AG80" s="2101"/>
    </row>
    <row r="81" spans="1:34" ht="16.5" customHeight="1" x14ac:dyDescent="0.35">
      <c r="A81" s="66"/>
      <c r="B81" s="1711" t="s">
        <v>1544</v>
      </c>
      <c r="C81" s="1712"/>
      <c r="D81" s="1723"/>
      <c r="E81" s="1724"/>
      <c r="F81" s="1725"/>
      <c r="G81" s="1204"/>
      <c r="H81" s="1194">
        <f t="shared" si="4"/>
        <v>0</v>
      </c>
      <c r="I81" s="1195"/>
      <c r="J81" s="1465"/>
      <c r="K81" s="1466"/>
      <c r="L81" s="1468"/>
      <c r="M81" s="1203">
        <f t="shared" si="3"/>
        <v>0</v>
      </c>
      <c r="N81" s="213"/>
      <c r="O81" s="287" t="s">
        <v>65</v>
      </c>
      <c r="P81" s="288" t="s">
        <v>260</v>
      </c>
      <c r="Q81" s="289"/>
      <c r="R81" s="289"/>
      <c r="S81" s="290"/>
      <c r="T81" s="290"/>
      <c r="U81" s="290"/>
      <c r="V81" s="1745" t="s">
        <v>113</v>
      </c>
      <c r="W81" s="1746"/>
      <c r="X81" s="1746"/>
      <c r="Y81" s="1746"/>
      <c r="Z81" s="1746"/>
      <c r="AA81" s="1746"/>
      <c r="AB81" s="1746"/>
      <c r="AC81" s="601"/>
      <c r="AE81" s="70"/>
      <c r="AF81" s="2101">
        <v>511131</v>
      </c>
      <c r="AG81" s="2101"/>
    </row>
    <row r="82" spans="1:34" ht="16.5" customHeight="1" x14ac:dyDescent="0.35">
      <c r="A82" s="66"/>
      <c r="B82" s="1711" t="s">
        <v>195</v>
      </c>
      <c r="C82" s="1712"/>
      <c r="D82" s="1723">
        <v>247519000</v>
      </c>
      <c r="E82" s="1724"/>
      <c r="F82" s="1725"/>
      <c r="G82" s="1204"/>
      <c r="H82" s="1194">
        <f t="shared" si="4"/>
        <v>247519000</v>
      </c>
      <c r="I82" s="1195"/>
      <c r="J82" s="1465">
        <v>265063000</v>
      </c>
      <c r="K82" s="1466"/>
      <c r="L82" s="1468"/>
      <c r="M82" s="1203">
        <f t="shared" si="3"/>
        <v>265063000</v>
      </c>
      <c r="N82" s="213"/>
      <c r="O82" s="229"/>
      <c r="P82" s="80" t="s">
        <v>261</v>
      </c>
      <c r="Q82" s="75"/>
      <c r="R82" s="75"/>
      <c r="S82" s="66"/>
      <c r="T82" s="66"/>
      <c r="U82" s="66"/>
      <c r="V82" s="1747" t="s">
        <v>113</v>
      </c>
      <c r="W82" s="1747"/>
      <c r="X82" s="1747"/>
      <c r="Y82" s="1747"/>
      <c r="Z82" s="1747"/>
      <c r="AA82" s="1747"/>
      <c r="AB82" s="1747"/>
      <c r="AC82" s="602"/>
      <c r="AE82" s="70"/>
      <c r="AF82" s="2101">
        <v>511132</v>
      </c>
      <c r="AG82" s="2101"/>
    </row>
    <row r="83" spans="1:34" ht="16.5" customHeight="1" x14ac:dyDescent="0.35">
      <c r="A83" s="66"/>
      <c r="B83" s="1711" t="s">
        <v>1545</v>
      </c>
      <c r="C83" s="1712"/>
      <c r="D83" s="1723"/>
      <c r="E83" s="1724"/>
      <c r="F83" s="1725"/>
      <c r="G83" s="1204"/>
      <c r="H83" s="1194">
        <f t="shared" si="4"/>
        <v>0</v>
      </c>
      <c r="I83" s="1195"/>
      <c r="J83" s="1465"/>
      <c r="K83" s="1466"/>
      <c r="L83" s="1468"/>
      <c r="M83" s="1203">
        <f t="shared" si="3"/>
        <v>0</v>
      </c>
      <c r="N83" s="213"/>
      <c r="O83" s="228"/>
      <c r="P83" s="80" t="s">
        <v>262</v>
      </c>
      <c r="Q83" s="75"/>
      <c r="R83" s="75"/>
      <c r="S83" s="75"/>
      <c r="T83" s="66"/>
      <c r="U83" s="66"/>
      <c r="V83" s="1747" t="s">
        <v>113</v>
      </c>
      <c r="W83" s="1747"/>
      <c r="X83" s="1747"/>
      <c r="Y83" s="1747"/>
      <c r="Z83" s="1747"/>
      <c r="AA83" s="1747"/>
      <c r="AB83" s="1747"/>
      <c r="AC83" s="602"/>
      <c r="AE83" s="70"/>
      <c r="AF83" s="2101">
        <v>511134</v>
      </c>
      <c r="AG83" s="2101"/>
    </row>
    <row r="84" spans="1:34" ht="16.5" customHeight="1" thickBot="1" x14ac:dyDescent="0.4">
      <c r="A84" s="66"/>
      <c r="B84" s="1711" t="s">
        <v>1546</v>
      </c>
      <c r="C84" s="1712"/>
      <c r="D84" s="1723"/>
      <c r="E84" s="1724"/>
      <c r="F84" s="1725"/>
      <c r="G84" s="1204"/>
      <c r="H84" s="1194">
        <f t="shared" si="4"/>
        <v>0</v>
      </c>
      <c r="I84" s="1195"/>
      <c r="J84" s="1465"/>
      <c r="K84" s="1466"/>
      <c r="L84" s="1468"/>
      <c r="M84" s="1203">
        <f t="shared" si="3"/>
        <v>0</v>
      </c>
      <c r="N84" s="213"/>
      <c r="O84" s="228"/>
      <c r="P84" s="80" t="str">
        <f>"Saldo per "&amp;$B$69</f>
        <v>Saldo per 31 Desember 2019</v>
      </c>
      <c r="Q84" s="75"/>
      <c r="R84" s="75"/>
      <c r="S84" s="75"/>
      <c r="T84" s="66"/>
      <c r="U84" s="66"/>
      <c r="V84" s="1749" t="s">
        <v>113</v>
      </c>
      <c r="W84" s="1749"/>
      <c r="X84" s="1749"/>
      <c r="Y84" s="1749"/>
      <c r="Z84" s="1749"/>
      <c r="AA84" s="1749"/>
      <c r="AB84" s="1749"/>
      <c r="AC84" s="602"/>
      <c r="AE84" s="70"/>
      <c r="AF84" s="2101" t="s">
        <v>197</v>
      </c>
      <c r="AG84" s="2101"/>
    </row>
    <row r="85" spans="1:34" ht="16.5" customHeight="1" x14ac:dyDescent="0.35">
      <c r="A85" s="66"/>
      <c r="B85" s="1711" t="s">
        <v>1547</v>
      </c>
      <c r="C85" s="1712"/>
      <c r="D85" s="1723"/>
      <c r="E85" s="1724"/>
      <c r="F85" s="1725"/>
      <c r="G85" s="1204"/>
      <c r="H85" s="1194">
        <f t="shared" si="4"/>
        <v>0</v>
      </c>
      <c r="I85" s="1195"/>
      <c r="J85" s="1465"/>
      <c r="K85" s="1466"/>
      <c r="L85" s="1468"/>
      <c r="M85" s="1203">
        <f t="shared" si="3"/>
        <v>0</v>
      </c>
      <c r="N85" s="213"/>
      <c r="O85" s="287" t="s">
        <v>67</v>
      </c>
      <c r="P85" s="288" t="s">
        <v>260</v>
      </c>
      <c r="Q85" s="289"/>
      <c r="R85" s="289"/>
      <c r="S85" s="290"/>
      <c r="T85" s="290"/>
      <c r="U85" s="290"/>
      <c r="V85" s="1745" t="s">
        <v>113</v>
      </c>
      <c r="W85" s="1746"/>
      <c r="X85" s="1746"/>
      <c r="Y85" s="1746"/>
      <c r="Z85" s="1746"/>
      <c r="AA85" s="1746"/>
      <c r="AB85" s="1746"/>
      <c r="AC85" s="601"/>
      <c r="AE85" s="70"/>
      <c r="AF85" s="2101">
        <v>511147</v>
      </c>
      <c r="AG85" s="2101"/>
    </row>
    <row r="86" spans="1:34" ht="16.5" customHeight="1" x14ac:dyDescent="0.35">
      <c r="A86" s="66"/>
      <c r="B86" s="1711" t="s">
        <v>196</v>
      </c>
      <c r="C86" s="1712"/>
      <c r="D86" s="1723"/>
      <c r="E86" s="1724"/>
      <c r="F86" s="1725"/>
      <c r="G86" s="1204"/>
      <c r="H86" s="1194">
        <f t="shared" si="4"/>
        <v>0</v>
      </c>
      <c r="I86" s="1195"/>
      <c r="J86" s="1465"/>
      <c r="K86" s="1466"/>
      <c r="L86" s="1468"/>
      <c r="M86" s="1203">
        <f t="shared" si="3"/>
        <v>0</v>
      </c>
      <c r="N86" s="213"/>
      <c r="O86" s="216"/>
      <c r="P86" s="80" t="s">
        <v>261</v>
      </c>
      <c r="Q86" s="75"/>
      <c r="R86" s="75"/>
      <c r="S86" s="66"/>
      <c r="T86" s="66"/>
      <c r="U86" s="66"/>
      <c r="V86" s="1747" t="s">
        <v>113</v>
      </c>
      <c r="W86" s="1747"/>
      <c r="X86" s="1747"/>
      <c r="Y86" s="1747"/>
      <c r="Z86" s="1747"/>
      <c r="AA86" s="1747"/>
      <c r="AB86" s="1747"/>
      <c r="AC86" s="602"/>
      <c r="AE86" s="70"/>
      <c r="AF86" s="2101">
        <v>511151</v>
      </c>
      <c r="AG86" s="2101"/>
    </row>
    <row r="87" spans="1:34" ht="16.5" customHeight="1" x14ac:dyDescent="0.35">
      <c r="A87" s="66"/>
      <c r="B87" s="1711" t="s">
        <v>1548</v>
      </c>
      <c r="C87" s="1712"/>
      <c r="D87" s="1723"/>
      <c r="E87" s="1724"/>
      <c r="F87" s="1725"/>
      <c r="G87" s="1204"/>
      <c r="H87" s="1194">
        <f t="shared" si="4"/>
        <v>0</v>
      </c>
      <c r="I87" s="1195"/>
      <c r="J87" s="1465"/>
      <c r="K87" s="1466"/>
      <c r="L87" s="1468"/>
      <c r="M87" s="1203">
        <f t="shared" si="3"/>
        <v>0</v>
      </c>
      <c r="N87" s="213"/>
      <c r="O87" s="216"/>
      <c r="P87" s="80" t="s">
        <v>262</v>
      </c>
      <c r="Q87" s="75"/>
      <c r="R87" s="75"/>
      <c r="S87" s="75"/>
      <c r="T87" s="66"/>
      <c r="U87" s="66"/>
      <c r="V87" s="1747" t="s">
        <v>113</v>
      </c>
      <c r="W87" s="1747"/>
      <c r="X87" s="1747"/>
      <c r="Y87" s="1747"/>
      <c r="Z87" s="1747"/>
      <c r="AA87" s="1747"/>
      <c r="AB87" s="1747"/>
      <c r="AC87" s="602"/>
      <c r="AE87" s="70"/>
      <c r="AF87" s="2101">
        <v>511152</v>
      </c>
      <c r="AG87" s="2101"/>
    </row>
    <row r="88" spans="1:34" ht="15.5" x14ac:dyDescent="0.35">
      <c r="A88" s="66"/>
      <c r="B88" s="1711" t="s">
        <v>1549</v>
      </c>
      <c r="C88" s="1712"/>
      <c r="D88" s="1723"/>
      <c r="E88" s="1724"/>
      <c r="F88" s="1725"/>
      <c r="G88" s="1204"/>
      <c r="H88" s="1194">
        <f t="shared" si="4"/>
        <v>0</v>
      </c>
      <c r="I88" s="1195"/>
      <c r="J88" s="1465"/>
      <c r="K88" s="1466"/>
      <c r="L88" s="1468"/>
      <c r="M88" s="1203">
        <f t="shared" si="3"/>
        <v>0</v>
      </c>
      <c r="N88" s="213"/>
      <c r="O88" s="215"/>
      <c r="P88" s="80" t="str">
        <f>"Saldo per "&amp;$B$69</f>
        <v>Saldo per 31 Desember 2019</v>
      </c>
      <c r="Q88" s="75"/>
      <c r="R88" s="75"/>
      <c r="S88" s="75"/>
      <c r="T88" s="66"/>
      <c r="U88" s="66"/>
      <c r="V88" s="1749" t="s">
        <v>113</v>
      </c>
      <c r="W88" s="1749"/>
      <c r="X88" s="1749"/>
      <c r="Y88" s="1749"/>
      <c r="Z88" s="1749"/>
      <c r="AA88" s="1749"/>
      <c r="AB88" s="1749"/>
      <c r="AC88" s="602"/>
      <c r="AE88" s="70"/>
      <c r="AF88" s="2101">
        <v>511153</v>
      </c>
      <c r="AG88" s="2101"/>
    </row>
    <row r="89" spans="1:34" ht="15.5" x14ac:dyDescent="0.3">
      <c r="A89" s="66"/>
      <c r="B89" s="1711" t="s">
        <v>1550</v>
      </c>
      <c r="C89" s="1712"/>
      <c r="D89" s="1723"/>
      <c r="E89" s="1724"/>
      <c r="F89" s="1725"/>
      <c r="G89" s="1204"/>
      <c r="H89" s="1194">
        <f t="shared" si="4"/>
        <v>0</v>
      </c>
      <c r="I89" s="1195"/>
      <c r="J89" s="1465"/>
      <c r="K89" s="1466"/>
      <c r="L89" s="1468"/>
      <c r="M89" s="1203">
        <f t="shared" si="3"/>
        <v>0</v>
      </c>
      <c r="N89" s="213"/>
      <c r="O89" s="215"/>
      <c r="P89" s="216"/>
      <c r="Q89" s="216"/>
      <c r="R89" s="216"/>
      <c r="S89" s="216"/>
      <c r="T89" s="216"/>
      <c r="U89" s="216"/>
      <c r="V89" s="216"/>
      <c r="W89" s="216"/>
      <c r="X89" s="216"/>
      <c r="Y89" s="216"/>
      <c r="Z89" s="216"/>
      <c r="AA89" s="216"/>
      <c r="AB89" s="216"/>
      <c r="AC89" s="216"/>
      <c r="AE89" s="70"/>
      <c r="AF89" s="2101">
        <v>511154</v>
      </c>
      <c r="AG89" s="2101"/>
    </row>
    <row r="90" spans="1:34" ht="15.5" x14ac:dyDescent="0.3">
      <c r="A90" s="66"/>
      <c r="B90" s="1711" t="s">
        <v>197</v>
      </c>
      <c r="C90" s="1712"/>
      <c r="D90" s="1723"/>
      <c r="E90" s="1724"/>
      <c r="F90" s="1725"/>
      <c r="G90" s="1204"/>
      <c r="H90" s="1194">
        <f t="shared" si="4"/>
        <v>0</v>
      </c>
      <c r="I90" s="1195"/>
      <c r="J90" s="1465"/>
      <c r="K90" s="1466"/>
      <c r="L90" s="1468"/>
      <c r="M90" s="1203">
        <f t="shared" si="3"/>
        <v>0</v>
      </c>
      <c r="N90" s="213"/>
      <c r="O90" s="215"/>
      <c r="P90" s="216"/>
      <c r="Q90" s="216"/>
      <c r="R90" s="216"/>
      <c r="S90" s="216"/>
      <c r="T90" s="216"/>
      <c r="U90" s="216"/>
      <c r="V90" s="216"/>
      <c r="W90" s="216"/>
      <c r="X90" s="216"/>
      <c r="Y90" s="216"/>
      <c r="Z90" s="216"/>
      <c r="AA90" s="216"/>
      <c r="AB90" s="216"/>
      <c r="AC90" s="216"/>
      <c r="AE90" s="70"/>
      <c r="AF90" s="340"/>
      <c r="AG90" s="340"/>
      <c r="AH90" s="341"/>
    </row>
    <row r="91" spans="1:34" ht="15.5" x14ac:dyDescent="0.3">
      <c r="A91" s="66"/>
      <c r="B91" s="1711" t="s">
        <v>1551</v>
      </c>
      <c r="C91" s="1712"/>
      <c r="D91" s="1723"/>
      <c r="E91" s="1724"/>
      <c r="F91" s="1725"/>
      <c r="G91" s="1204"/>
      <c r="H91" s="1194">
        <f t="shared" si="4"/>
        <v>0</v>
      </c>
      <c r="I91" s="1195"/>
      <c r="J91" s="1465"/>
      <c r="K91" s="1466"/>
      <c r="L91" s="1468"/>
      <c r="M91" s="1203">
        <f t="shared" si="3"/>
        <v>0</v>
      </c>
      <c r="N91" s="213"/>
      <c r="O91" s="215"/>
      <c r="P91" s="216"/>
      <c r="Q91" s="216"/>
      <c r="R91" s="216"/>
      <c r="S91" s="216"/>
      <c r="T91" s="216"/>
      <c r="U91" s="216"/>
      <c r="V91" s="216"/>
      <c r="W91" s="216"/>
      <c r="X91" s="216"/>
      <c r="Y91" s="216"/>
      <c r="Z91" s="216"/>
      <c r="AA91" s="216"/>
      <c r="AB91" s="216"/>
      <c r="AC91" s="216"/>
      <c r="AE91" s="70"/>
      <c r="AF91" s="340"/>
      <c r="AG91" s="340"/>
      <c r="AH91" s="341"/>
    </row>
    <row r="92" spans="1:34" ht="15.5" x14ac:dyDescent="0.3">
      <c r="A92" s="66"/>
      <c r="B92" s="1711" t="s">
        <v>1552</v>
      </c>
      <c r="C92" s="1712"/>
      <c r="D92" s="1723"/>
      <c r="E92" s="1724"/>
      <c r="F92" s="1725"/>
      <c r="G92" s="1204"/>
      <c r="H92" s="1194">
        <f t="shared" si="4"/>
        <v>0</v>
      </c>
      <c r="I92" s="1195"/>
      <c r="J92" s="1465"/>
      <c r="K92" s="1466"/>
      <c r="L92" s="1468"/>
      <c r="M92" s="1203">
        <f t="shared" si="3"/>
        <v>0</v>
      </c>
      <c r="N92" s="213"/>
      <c r="O92" s="215"/>
      <c r="P92" s="216"/>
      <c r="Q92" s="216"/>
      <c r="R92" s="216"/>
      <c r="S92" s="216"/>
      <c r="T92" s="216"/>
      <c r="U92" s="216"/>
      <c r="V92" s="216"/>
      <c r="W92" s="216"/>
      <c r="X92" s="216"/>
      <c r="Y92" s="216"/>
      <c r="Z92" s="216"/>
      <c r="AA92" s="216"/>
      <c r="AB92" s="216"/>
      <c r="AC92" s="216"/>
      <c r="AE92" s="70"/>
      <c r="AF92" s="340"/>
      <c r="AG92" s="340"/>
      <c r="AH92" s="341"/>
    </row>
    <row r="93" spans="1:34" ht="15.5" x14ac:dyDescent="0.3">
      <c r="A93" s="66"/>
      <c r="B93" s="1711" t="s">
        <v>1553</v>
      </c>
      <c r="C93" s="1712"/>
      <c r="D93" s="1723"/>
      <c r="E93" s="1724"/>
      <c r="F93" s="1725"/>
      <c r="G93" s="1204"/>
      <c r="H93" s="1194">
        <f t="shared" si="4"/>
        <v>0</v>
      </c>
      <c r="I93" s="1195"/>
      <c r="J93" s="1465"/>
      <c r="K93" s="1466"/>
      <c r="L93" s="1468"/>
      <c r="M93" s="1203">
        <f t="shared" si="3"/>
        <v>0</v>
      </c>
      <c r="N93" s="213"/>
      <c r="O93" s="215"/>
      <c r="P93" s="216"/>
      <c r="Q93" s="216"/>
      <c r="R93" s="216"/>
      <c r="S93" s="216"/>
      <c r="T93" s="216"/>
      <c r="U93" s="216"/>
      <c r="V93" s="216"/>
      <c r="W93" s="216"/>
      <c r="X93" s="216"/>
      <c r="Y93" s="216"/>
      <c r="Z93" s="216"/>
      <c r="AA93" s="216"/>
      <c r="AB93" s="216"/>
      <c r="AC93" s="216"/>
      <c r="AE93" s="70"/>
      <c r="AF93" s="340"/>
      <c r="AG93" s="340"/>
      <c r="AH93" s="341"/>
    </row>
    <row r="94" spans="1:34" ht="15.5" x14ac:dyDescent="0.3">
      <c r="A94" s="66"/>
      <c r="B94" s="1711" t="s">
        <v>1554</v>
      </c>
      <c r="C94" s="1712"/>
      <c r="D94" s="1723"/>
      <c r="E94" s="1724"/>
      <c r="F94" s="1725"/>
      <c r="G94" s="1204"/>
      <c r="H94" s="1194">
        <f t="shared" si="4"/>
        <v>0</v>
      </c>
      <c r="I94" s="1195"/>
      <c r="J94" s="1465"/>
      <c r="K94" s="1466"/>
      <c r="L94" s="1468"/>
      <c r="M94" s="1203">
        <f t="shared" si="3"/>
        <v>0</v>
      </c>
      <c r="N94" s="213"/>
      <c r="O94" s="215"/>
      <c r="P94" s="216"/>
      <c r="Q94" s="216"/>
      <c r="R94" s="216"/>
      <c r="S94" s="216"/>
      <c r="T94" s="216"/>
      <c r="U94" s="216"/>
      <c r="V94" s="216"/>
      <c r="W94" s="216"/>
      <c r="X94" s="216"/>
      <c r="Y94" s="216"/>
      <c r="Z94" s="216"/>
      <c r="AA94" s="216"/>
      <c r="AB94" s="216"/>
      <c r="AC94" s="216"/>
      <c r="AE94" s="70"/>
      <c r="AF94" s="340"/>
      <c r="AG94" s="340"/>
      <c r="AH94" s="341"/>
    </row>
    <row r="95" spans="1:34" ht="15.5" x14ac:dyDescent="0.3">
      <c r="A95" s="66"/>
      <c r="B95" s="1711" t="s">
        <v>1555</v>
      </c>
      <c r="C95" s="1712"/>
      <c r="D95" s="1723"/>
      <c r="E95" s="1724"/>
      <c r="F95" s="1725"/>
      <c r="G95" s="1204"/>
      <c r="H95" s="1194">
        <f t="shared" si="4"/>
        <v>0</v>
      </c>
      <c r="I95" s="1195"/>
      <c r="J95" s="1465"/>
      <c r="K95" s="1466"/>
      <c r="L95" s="1468"/>
      <c r="M95" s="1203">
        <f t="shared" si="3"/>
        <v>0</v>
      </c>
      <c r="N95" s="213"/>
      <c r="O95" s="215"/>
      <c r="P95" s="216"/>
      <c r="Q95" s="216"/>
      <c r="R95" s="216"/>
      <c r="S95" s="216"/>
      <c r="T95" s="216"/>
      <c r="U95" s="216"/>
      <c r="V95" s="216"/>
      <c r="W95" s="216"/>
      <c r="X95" s="216"/>
      <c r="Y95" s="216"/>
      <c r="Z95" s="216"/>
      <c r="AA95" s="216"/>
      <c r="AB95" s="216"/>
      <c r="AC95" s="216"/>
      <c r="AE95" s="70"/>
      <c r="AF95" s="340"/>
      <c r="AG95" s="340"/>
      <c r="AH95" s="341"/>
    </row>
    <row r="96" spans="1:34" ht="15.5" x14ac:dyDescent="0.3">
      <c r="A96" s="66"/>
      <c r="B96" s="1711" t="s">
        <v>1556</v>
      </c>
      <c r="C96" s="1712"/>
      <c r="D96" s="1723"/>
      <c r="E96" s="1724"/>
      <c r="F96" s="1725"/>
      <c r="G96" s="1204"/>
      <c r="H96" s="1194">
        <f t="shared" si="4"/>
        <v>0</v>
      </c>
      <c r="I96" s="1195"/>
      <c r="J96" s="1465"/>
      <c r="K96" s="1466"/>
      <c r="L96" s="1468"/>
      <c r="M96" s="1203">
        <f t="shared" si="3"/>
        <v>0</v>
      </c>
      <c r="N96" s="213"/>
      <c r="O96" s="215"/>
      <c r="P96" s="216"/>
      <c r="Q96" s="216"/>
      <c r="R96" s="216"/>
      <c r="S96" s="216"/>
      <c r="T96" s="216"/>
      <c r="U96" s="216"/>
      <c r="V96" s="216"/>
      <c r="W96" s="216"/>
      <c r="X96" s="216"/>
      <c r="Y96" s="216"/>
      <c r="Z96" s="216"/>
      <c r="AA96" s="216"/>
      <c r="AB96" s="216"/>
      <c r="AC96" s="216"/>
      <c r="AE96" s="70"/>
      <c r="AF96" s="340"/>
      <c r="AG96" s="340"/>
      <c r="AH96" s="341"/>
    </row>
    <row r="97" spans="1:34" ht="15.5" x14ac:dyDescent="0.3">
      <c r="A97" s="66"/>
      <c r="B97" s="1711" t="s">
        <v>1557</v>
      </c>
      <c r="C97" s="1712"/>
      <c r="D97" s="1723"/>
      <c r="E97" s="1724"/>
      <c r="F97" s="1725"/>
      <c r="G97" s="1204"/>
      <c r="H97" s="1194">
        <f t="shared" si="4"/>
        <v>0</v>
      </c>
      <c r="I97" s="1195"/>
      <c r="J97" s="1465"/>
      <c r="K97" s="1466"/>
      <c r="L97" s="1468"/>
      <c r="M97" s="1203">
        <f t="shared" si="3"/>
        <v>0</v>
      </c>
      <c r="N97" s="213"/>
      <c r="O97" s="215"/>
      <c r="P97" s="216"/>
      <c r="Q97" s="216"/>
      <c r="R97" s="216"/>
      <c r="S97" s="216"/>
      <c r="T97" s="216"/>
      <c r="U97" s="216"/>
      <c r="V97" s="216"/>
      <c r="W97" s="216"/>
      <c r="X97" s="216"/>
      <c r="Y97" s="216"/>
      <c r="Z97" s="216"/>
      <c r="AA97" s="216"/>
      <c r="AB97" s="216"/>
      <c r="AC97" s="216"/>
      <c r="AE97" s="70"/>
      <c r="AF97" s="340"/>
      <c r="AG97" s="340"/>
      <c r="AH97" s="341"/>
    </row>
    <row r="98" spans="1:34" ht="15.5" x14ac:dyDescent="0.3">
      <c r="A98" s="66"/>
      <c r="B98" s="1711" t="s">
        <v>198</v>
      </c>
      <c r="C98" s="1712"/>
      <c r="D98" s="1723"/>
      <c r="E98" s="1724"/>
      <c r="F98" s="1725"/>
      <c r="G98" s="1204"/>
      <c r="H98" s="1194">
        <f t="shared" si="4"/>
        <v>0</v>
      </c>
      <c r="I98" s="1195"/>
      <c r="J98" s="1465"/>
      <c r="K98" s="1466"/>
      <c r="L98" s="1468"/>
      <c r="M98" s="1203">
        <f t="shared" si="3"/>
        <v>0</v>
      </c>
      <c r="N98" s="213"/>
      <c r="O98" s="215"/>
      <c r="P98" s="216"/>
      <c r="Q98" s="216"/>
      <c r="R98" s="216"/>
      <c r="S98" s="216"/>
      <c r="T98" s="216"/>
      <c r="U98" s="216"/>
      <c r="V98" s="216"/>
      <c r="W98" s="216"/>
      <c r="X98" s="216"/>
      <c r="Y98" s="216"/>
      <c r="Z98" s="216"/>
      <c r="AA98" s="216"/>
      <c r="AB98" s="216"/>
      <c r="AC98" s="216"/>
      <c r="AE98" s="70"/>
      <c r="AF98" s="340"/>
      <c r="AG98" s="340"/>
      <c r="AH98" s="341"/>
    </row>
    <row r="99" spans="1:34" ht="15.5" x14ac:dyDescent="0.3">
      <c r="A99" s="66"/>
      <c r="B99" s="1711" t="s">
        <v>1558</v>
      </c>
      <c r="C99" s="1712"/>
      <c r="D99" s="1723"/>
      <c r="E99" s="1724"/>
      <c r="F99" s="1725"/>
      <c r="G99" s="1204"/>
      <c r="H99" s="1194">
        <f t="shared" si="4"/>
        <v>0</v>
      </c>
      <c r="I99" s="1195"/>
      <c r="J99" s="1465"/>
      <c r="K99" s="1466"/>
      <c r="L99" s="1468"/>
      <c r="M99" s="1203">
        <f t="shared" si="3"/>
        <v>0</v>
      </c>
      <c r="N99" s="213"/>
      <c r="O99" s="215"/>
      <c r="P99" s="216"/>
      <c r="Q99" s="216"/>
      <c r="R99" s="216"/>
      <c r="S99" s="216"/>
      <c r="T99" s="216"/>
      <c r="U99" s="216"/>
      <c r="V99" s="216"/>
      <c r="W99" s="216"/>
      <c r="X99" s="216"/>
      <c r="Y99" s="216"/>
      <c r="Z99" s="216"/>
      <c r="AA99" s="216"/>
      <c r="AB99" s="216"/>
      <c r="AC99" s="216"/>
      <c r="AE99" s="70"/>
      <c r="AF99" s="340"/>
      <c r="AG99" s="340"/>
      <c r="AH99" s="341"/>
    </row>
    <row r="100" spans="1:34" ht="15.5" x14ac:dyDescent="0.3">
      <c r="A100" s="66"/>
      <c r="B100" s="1711" t="s">
        <v>199</v>
      </c>
      <c r="C100" s="1712"/>
      <c r="D100" s="1723">
        <v>30940000</v>
      </c>
      <c r="E100" s="1724"/>
      <c r="F100" s="1725"/>
      <c r="G100" s="1204">
        <v>0</v>
      </c>
      <c r="H100" s="1194">
        <f t="shared" si="4"/>
        <v>30940000</v>
      </c>
      <c r="I100" s="1195"/>
      <c r="J100" s="1465">
        <v>33695000</v>
      </c>
      <c r="K100" s="1466"/>
      <c r="L100" s="1468"/>
      <c r="M100" s="1203">
        <f t="shared" si="3"/>
        <v>33695000</v>
      </c>
      <c r="N100" s="213"/>
      <c r="O100" s="215"/>
      <c r="P100" s="216"/>
      <c r="Q100" s="216"/>
      <c r="R100" s="216"/>
      <c r="S100" s="216"/>
      <c r="T100" s="216"/>
      <c r="U100" s="216"/>
      <c r="V100" s="216"/>
      <c r="W100" s="216"/>
      <c r="X100" s="216"/>
      <c r="Y100" s="216"/>
      <c r="Z100" s="216"/>
      <c r="AA100" s="216"/>
      <c r="AB100" s="216"/>
      <c r="AC100" s="216"/>
      <c r="AE100" s="70"/>
      <c r="AF100" s="340"/>
      <c r="AG100" s="340"/>
      <c r="AH100" s="341"/>
    </row>
    <row r="101" spans="1:34" ht="15.5" x14ac:dyDescent="0.3">
      <c r="A101" s="66"/>
      <c r="B101" s="1711" t="s">
        <v>200</v>
      </c>
      <c r="C101" s="1712"/>
      <c r="D101" s="1723"/>
      <c r="E101" s="1724"/>
      <c r="F101" s="1725"/>
      <c r="G101" s="1204"/>
      <c r="H101" s="1194">
        <f t="shared" si="4"/>
        <v>0</v>
      </c>
      <c r="I101" s="1195"/>
      <c r="J101" s="1465"/>
      <c r="K101" s="1466"/>
      <c r="L101" s="1468"/>
      <c r="M101" s="1203">
        <f t="shared" si="3"/>
        <v>0</v>
      </c>
      <c r="N101" s="213"/>
      <c r="O101" s="215"/>
      <c r="P101" s="216"/>
      <c r="Q101" s="216"/>
      <c r="R101" s="216"/>
      <c r="S101" s="216"/>
      <c r="T101" s="216"/>
      <c r="U101" s="216"/>
      <c r="V101" s="216"/>
      <c r="W101" s="216"/>
      <c r="X101" s="216"/>
      <c r="Y101" s="216"/>
      <c r="Z101" s="216"/>
      <c r="AA101" s="216"/>
      <c r="AB101" s="216"/>
      <c r="AC101" s="216"/>
      <c r="AE101" s="70"/>
      <c r="AF101" s="340"/>
      <c r="AG101" s="340"/>
      <c r="AH101" s="341"/>
    </row>
    <row r="102" spans="1:34" ht="15.5" x14ac:dyDescent="0.3">
      <c r="A102" s="66"/>
      <c r="B102" s="1711" t="s">
        <v>201</v>
      </c>
      <c r="C102" s="1712"/>
      <c r="D102" s="1723"/>
      <c r="E102" s="1724"/>
      <c r="F102" s="1725"/>
      <c r="G102" s="1204"/>
      <c r="H102" s="1194">
        <f t="shared" si="4"/>
        <v>0</v>
      </c>
      <c r="I102" s="1195"/>
      <c r="J102" s="1465"/>
      <c r="K102" s="1466"/>
      <c r="L102" s="1468"/>
      <c r="M102" s="1203">
        <f t="shared" si="3"/>
        <v>0</v>
      </c>
      <c r="N102" s="213"/>
      <c r="O102" s="215"/>
      <c r="P102" s="216"/>
      <c r="Q102" s="216"/>
      <c r="R102" s="216"/>
      <c r="S102" s="216"/>
      <c r="T102" s="216"/>
      <c r="U102" s="216"/>
      <c r="V102" s="216"/>
      <c r="W102" s="216"/>
      <c r="X102" s="216"/>
      <c r="Y102" s="216"/>
      <c r="Z102" s="216"/>
      <c r="AA102" s="216"/>
      <c r="AB102" s="216"/>
      <c r="AC102" s="216"/>
      <c r="AE102" s="70"/>
      <c r="AF102" s="340"/>
      <c r="AG102" s="340"/>
      <c r="AH102" s="341"/>
    </row>
    <row r="103" spans="1:34" ht="15.5" x14ac:dyDescent="0.3">
      <c r="A103" s="66"/>
      <c r="B103" s="1711" t="s">
        <v>202</v>
      </c>
      <c r="C103" s="1712"/>
      <c r="D103" s="1723"/>
      <c r="E103" s="1724"/>
      <c r="F103" s="1725"/>
      <c r="G103" s="1204"/>
      <c r="H103" s="1194">
        <f t="shared" si="4"/>
        <v>0</v>
      </c>
      <c r="I103" s="1195"/>
      <c r="J103" s="1465"/>
      <c r="K103" s="1466"/>
      <c r="L103" s="1468"/>
      <c r="M103" s="1203">
        <f t="shared" si="3"/>
        <v>0</v>
      </c>
      <c r="N103" s="213"/>
      <c r="O103" s="215"/>
      <c r="P103" s="216"/>
      <c r="Q103" s="216"/>
      <c r="R103" s="216"/>
      <c r="S103" s="216"/>
      <c r="T103" s="216"/>
      <c r="U103" s="216"/>
      <c r="V103" s="216"/>
      <c r="W103" s="216"/>
      <c r="X103" s="216"/>
      <c r="Y103" s="216"/>
      <c r="Z103" s="216"/>
      <c r="AA103" s="216"/>
      <c r="AB103" s="216"/>
      <c r="AC103" s="216"/>
      <c r="AE103" s="70"/>
      <c r="AF103" s="340"/>
      <c r="AG103" s="340"/>
      <c r="AH103" s="341"/>
    </row>
    <row r="104" spans="1:34" ht="15.5" x14ac:dyDescent="0.3">
      <c r="A104" s="66"/>
      <c r="B104" s="1711" t="s">
        <v>184</v>
      </c>
      <c r="C104" s="1712"/>
      <c r="D104" s="1723"/>
      <c r="E104" s="1724"/>
      <c r="F104" s="1725"/>
      <c r="G104" s="1204"/>
      <c r="H104" s="1194">
        <f t="shared" si="4"/>
        <v>0</v>
      </c>
      <c r="I104" s="1195"/>
      <c r="J104" s="1465"/>
      <c r="K104" s="1466"/>
      <c r="L104" s="1468"/>
      <c r="M104" s="1203">
        <f t="shared" si="3"/>
        <v>0</v>
      </c>
      <c r="N104" s="213"/>
      <c r="O104" s="215"/>
      <c r="P104" s="216"/>
      <c r="Q104" s="216"/>
      <c r="R104" s="216"/>
      <c r="S104" s="216"/>
      <c r="T104" s="216"/>
      <c r="U104" s="216"/>
      <c r="V104" s="216"/>
      <c r="W104" s="216"/>
      <c r="X104" s="216"/>
      <c r="Y104" s="216"/>
      <c r="Z104" s="216"/>
      <c r="AA104" s="216"/>
      <c r="AB104" s="216"/>
      <c r="AC104" s="216"/>
      <c r="AE104" s="70"/>
      <c r="AF104" s="340"/>
      <c r="AG104" s="340"/>
      <c r="AH104" s="341"/>
    </row>
    <row r="105" spans="1:34" ht="15.5" x14ac:dyDescent="0.3">
      <c r="A105" s="66"/>
      <c r="B105" s="1711" t="s">
        <v>1559</v>
      </c>
      <c r="C105" s="1712"/>
      <c r="D105" s="1723"/>
      <c r="E105" s="1724"/>
      <c r="F105" s="1725"/>
      <c r="G105" s="1204"/>
      <c r="H105" s="1194">
        <f t="shared" si="4"/>
        <v>0</v>
      </c>
      <c r="I105" s="1195"/>
      <c r="J105" s="1465"/>
      <c r="K105" s="1466"/>
      <c r="L105" s="1468"/>
      <c r="M105" s="1203">
        <f t="shared" si="3"/>
        <v>0</v>
      </c>
      <c r="N105" s="213"/>
      <c r="O105" s="215"/>
      <c r="P105" s="216"/>
      <c r="Q105" s="216"/>
      <c r="R105" s="216"/>
      <c r="S105" s="216"/>
      <c r="T105" s="216"/>
      <c r="U105" s="216"/>
      <c r="V105" s="216"/>
      <c r="W105" s="216"/>
      <c r="X105" s="216"/>
      <c r="Y105" s="216"/>
      <c r="Z105" s="216"/>
      <c r="AA105" s="216"/>
      <c r="AB105" s="216"/>
      <c r="AC105" s="216"/>
      <c r="AE105" s="70"/>
      <c r="AF105" s="340"/>
      <c r="AG105" s="340"/>
      <c r="AH105" s="341"/>
    </row>
    <row r="106" spans="1:34" ht="15.5" x14ac:dyDescent="0.3">
      <c r="A106" s="66"/>
      <c r="B106" s="1711" t="s">
        <v>1560</v>
      </c>
      <c r="C106" s="1712"/>
      <c r="D106" s="1723"/>
      <c r="E106" s="1724"/>
      <c r="F106" s="1725"/>
      <c r="G106" s="1204"/>
      <c r="H106" s="1194">
        <f t="shared" si="4"/>
        <v>0</v>
      </c>
      <c r="I106" s="1195"/>
      <c r="J106" s="1465"/>
      <c r="K106" s="1466"/>
      <c r="L106" s="1468"/>
      <c r="M106" s="1203">
        <f t="shared" si="3"/>
        <v>0</v>
      </c>
      <c r="N106" s="213"/>
      <c r="O106" s="215"/>
      <c r="P106" s="216"/>
      <c r="Q106" s="216"/>
      <c r="R106" s="216"/>
      <c r="S106" s="216"/>
      <c r="T106" s="216"/>
      <c r="U106" s="216"/>
      <c r="V106" s="216"/>
      <c r="W106" s="216"/>
      <c r="X106" s="216"/>
      <c r="Y106" s="216"/>
      <c r="Z106" s="216"/>
      <c r="AA106" s="216"/>
      <c r="AB106" s="216"/>
      <c r="AC106" s="216"/>
      <c r="AE106" s="70"/>
      <c r="AF106" s="340"/>
      <c r="AG106" s="340"/>
      <c r="AH106" s="341"/>
    </row>
    <row r="107" spans="1:34" ht="15.5" x14ac:dyDescent="0.3">
      <c r="A107" s="66"/>
      <c r="B107" s="1711" t="s">
        <v>203</v>
      </c>
      <c r="C107" s="1712"/>
      <c r="D107" s="1723"/>
      <c r="E107" s="1724"/>
      <c r="F107" s="1725"/>
      <c r="G107" s="1204"/>
      <c r="H107" s="1194">
        <f t="shared" si="4"/>
        <v>0</v>
      </c>
      <c r="I107" s="1195"/>
      <c r="J107" s="1465"/>
      <c r="K107" s="1466"/>
      <c r="L107" s="1468"/>
      <c r="M107" s="1203">
        <f t="shared" si="3"/>
        <v>0</v>
      </c>
      <c r="N107" s="213"/>
      <c r="O107" s="215"/>
      <c r="P107" s="216"/>
      <c r="Q107" s="216"/>
      <c r="R107" s="216"/>
      <c r="S107" s="216"/>
      <c r="T107" s="216"/>
      <c r="U107" s="216"/>
      <c r="V107" s="216"/>
      <c r="W107" s="216"/>
      <c r="X107" s="216"/>
      <c r="Y107" s="216"/>
      <c r="Z107" s="216"/>
      <c r="AA107" s="216"/>
      <c r="AB107" s="216"/>
      <c r="AC107" s="216"/>
      <c r="AE107" s="70"/>
      <c r="AF107" s="340"/>
      <c r="AG107" s="340"/>
      <c r="AH107" s="341"/>
    </row>
    <row r="108" spans="1:34" ht="15.5" x14ac:dyDescent="0.3">
      <c r="A108" s="66"/>
      <c r="B108" s="1711" t="s">
        <v>204</v>
      </c>
      <c r="C108" s="1712"/>
      <c r="D108" s="1723"/>
      <c r="E108" s="1724"/>
      <c r="F108" s="1725"/>
      <c r="G108" s="1204"/>
      <c r="H108" s="1194">
        <f t="shared" si="4"/>
        <v>0</v>
      </c>
      <c r="I108" s="1195"/>
      <c r="J108" s="1465"/>
      <c r="K108" s="1466"/>
      <c r="L108" s="1468"/>
      <c r="M108" s="1203">
        <f t="shared" si="3"/>
        <v>0</v>
      </c>
      <c r="N108" s="213"/>
      <c r="O108" s="215"/>
      <c r="P108" s="216"/>
      <c r="Q108" s="216"/>
      <c r="R108" s="216"/>
      <c r="S108" s="216"/>
      <c r="T108" s="216"/>
      <c r="U108" s="216"/>
      <c r="V108" s="216"/>
      <c r="W108" s="216"/>
      <c r="X108" s="216"/>
      <c r="Y108" s="216"/>
      <c r="Z108" s="216"/>
      <c r="AA108" s="216"/>
      <c r="AB108" s="216"/>
      <c r="AC108" s="216"/>
      <c r="AE108" s="70"/>
      <c r="AF108" s="340"/>
      <c r="AG108" s="340"/>
      <c r="AH108" s="341"/>
    </row>
    <row r="109" spans="1:34" ht="15.5" x14ac:dyDescent="0.3">
      <c r="A109" s="66"/>
      <c r="B109" s="1711" t="s">
        <v>205</v>
      </c>
      <c r="C109" s="1712"/>
      <c r="D109" s="1723"/>
      <c r="E109" s="1724"/>
      <c r="F109" s="1725"/>
      <c r="G109" s="1204"/>
      <c r="H109" s="1194">
        <f t="shared" si="4"/>
        <v>0</v>
      </c>
      <c r="I109" s="1195"/>
      <c r="J109" s="1465"/>
      <c r="K109" s="1466"/>
      <c r="L109" s="1468"/>
      <c r="M109" s="1203">
        <f t="shared" si="3"/>
        <v>0</v>
      </c>
      <c r="N109" s="213"/>
      <c r="O109" s="215"/>
      <c r="P109" s="216"/>
      <c r="Q109" s="216"/>
      <c r="R109" s="216"/>
      <c r="S109" s="216"/>
      <c r="T109" s="216"/>
      <c r="U109" s="216"/>
      <c r="V109" s="216"/>
      <c r="W109" s="216"/>
      <c r="X109" s="216"/>
      <c r="Y109" s="216"/>
      <c r="Z109" s="216"/>
      <c r="AA109" s="216"/>
      <c r="AB109" s="216"/>
      <c r="AC109" s="216"/>
      <c r="AE109" s="70"/>
      <c r="AF109" s="340"/>
      <c r="AG109" s="340"/>
      <c r="AH109" s="341"/>
    </row>
    <row r="110" spans="1:34" ht="15.5" x14ac:dyDescent="0.3">
      <c r="A110" s="66"/>
      <c r="B110" s="1711" t="s">
        <v>206</v>
      </c>
      <c r="C110" s="1712"/>
      <c r="D110" s="1723"/>
      <c r="E110" s="1724"/>
      <c r="F110" s="1725"/>
      <c r="G110" s="1204"/>
      <c r="H110" s="1194">
        <f t="shared" si="4"/>
        <v>0</v>
      </c>
      <c r="I110" s="1195"/>
      <c r="J110" s="1465"/>
      <c r="K110" s="1466"/>
      <c r="L110" s="1468"/>
      <c r="M110" s="1203">
        <f t="shared" si="3"/>
        <v>0</v>
      </c>
      <c r="N110" s="213"/>
      <c r="O110" s="215"/>
      <c r="P110" s="216"/>
      <c r="Q110" s="216"/>
      <c r="R110" s="216"/>
      <c r="S110" s="216"/>
      <c r="T110" s="216"/>
      <c r="U110" s="216"/>
      <c r="V110" s="216"/>
      <c r="W110" s="216"/>
      <c r="X110" s="216"/>
      <c r="Y110" s="216"/>
      <c r="Z110" s="216"/>
      <c r="AA110" s="216"/>
      <c r="AB110" s="216"/>
      <c r="AC110" s="216"/>
      <c r="AE110" s="70"/>
      <c r="AF110" s="340"/>
      <c r="AG110" s="340"/>
      <c r="AH110" s="341"/>
    </row>
    <row r="111" spans="1:34" ht="15.5" x14ac:dyDescent="0.3">
      <c r="A111" s="66"/>
      <c r="B111" s="1711" t="s">
        <v>207</v>
      </c>
      <c r="C111" s="1712"/>
      <c r="D111" s="1723" t="s">
        <v>124</v>
      </c>
      <c r="E111" s="1724"/>
      <c r="F111" s="1725"/>
      <c r="G111" s="1204"/>
      <c r="H111" s="1194"/>
      <c r="I111" s="1195"/>
      <c r="J111" s="1465"/>
      <c r="K111" s="1466"/>
      <c r="L111" s="1468"/>
      <c r="M111" s="1203">
        <f t="shared" si="3"/>
        <v>0</v>
      </c>
      <c r="N111" s="213"/>
      <c r="O111" s="215"/>
      <c r="P111" s="216"/>
      <c r="Q111" s="216"/>
      <c r="R111" s="216"/>
      <c r="S111" s="216"/>
      <c r="T111" s="216"/>
      <c r="U111" s="216"/>
      <c r="V111" s="216"/>
      <c r="W111" s="216"/>
      <c r="X111" s="216"/>
      <c r="Y111" s="216"/>
      <c r="Z111" s="216"/>
      <c r="AA111" s="216"/>
      <c r="AB111" s="216"/>
      <c r="AC111" s="216"/>
      <c r="AE111" s="70"/>
      <c r="AF111" s="340"/>
      <c r="AG111" s="340"/>
      <c r="AH111" s="341"/>
    </row>
    <row r="112" spans="1:34" ht="15.5" x14ac:dyDescent="0.3">
      <c r="A112" s="66"/>
      <c r="B112" s="1711" t="s">
        <v>208</v>
      </c>
      <c r="C112" s="1712"/>
      <c r="D112" s="1723"/>
      <c r="E112" s="1724"/>
      <c r="F112" s="1725"/>
      <c r="G112" s="1204"/>
      <c r="H112" s="1194">
        <f t="shared" si="4"/>
        <v>0</v>
      </c>
      <c r="I112" s="1195"/>
      <c r="J112" s="1465"/>
      <c r="K112" s="1466"/>
      <c r="L112" s="1468"/>
      <c r="M112" s="1203">
        <f t="shared" si="3"/>
        <v>0</v>
      </c>
      <c r="N112" s="213"/>
      <c r="O112" s="215"/>
      <c r="P112" s="216"/>
      <c r="Q112" s="216"/>
      <c r="R112" s="216"/>
      <c r="S112" s="216"/>
      <c r="T112" s="216"/>
      <c r="U112" s="216"/>
      <c r="V112" s="216"/>
      <c r="W112" s="216"/>
      <c r="X112" s="216"/>
      <c r="Y112" s="216"/>
      <c r="Z112" s="216"/>
      <c r="AA112" s="216"/>
      <c r="AB112" s="216"/>
      <c r="AC112" s="216"/>
      <c r="AE112" s="70"/>
      <c r="AF112" s="340"/>
      <c r="AG112" s="340"/>
      <c r="AH112" s="341"/>
    </row>
    <row r="113" spans="1:34" ht="15.5" x14ac:dyDescent="0.3">
      <c r="A113" s="66"/>
      <c r="B113" s="1711" t="s">
        <v>209</v>
      </c>
      <c r="C113" s="1712"/>
      <c r="D113" s="1723"/>
      <c r="E113" s="1724"/>
      <c r="F113" s="1725"/>
      <c r="G113" s="1204"/>
      <c r="H113" s="1194">
        <f t="shared" si="4"/>
        <v>0</v>
      </c>
      <c r="I113" s="1195"/>
      <c r="J113" s="1465"/>
      <c r="K113" s="1466"/>
      <c r="L113" s="1468"/>
      <c r="M113" s="1203">
        <f t="shared" si="3"/>
        <v>0</v>
      </c>
      <c r="N113" s="213"/>
      <c r="O113" s="215"/>
      <c r="P113" s="216"/>
      <c r="Q113" s="216"/>
      <c r="R113" s="216"/>
      <c r="S113" s="216"/>
      <c r="T113" s="216"/>
      <c r="U113" s="216"/>
      <c r="V113" s="216"/>
      <c r="W113" s="216"/>
      <c r="X113" s="216"/>
      <c r="Y113" s="216"/>
      <c r="Z113" s="216"/>
      <c r="AA113" s="216"/>
      <c r="AB113" s="216"/>
      <c r="AC113" s="216"/>
      <c r="AE113" s="70"/>
      <c r="AF113" s="340"/>
      <c r="AG113" s="340"/>
      <c r="AH113" s="341"/>
    </row>
    <row r="114" spans="1:34" ht="15.5" x14ac:dyDescent="0.3">
      <c r="A114" s="66"/>
      <c r="B114" s="1711" t="s">
        <v>210</v>
      </c>
      <c r="C114" s="1712"/>
      <c r="D114" s="1723"/>
      <c r="E114" s="1724"/>
      <c r="F114" s="1725"/>
      <c r="G114" s="1204"/>
      <c r="H114" s="1194">
        <f t="shared" si="4"/>
        <v>0</v>
      </c>
      <c r="I114" s="1195"/>
      <c r="J114" s="1465"/>
      <c r="K114" s="1466"/>
      <c r="L114" s="1468"/>
      <c r="M114" s="1203">
        <f t="shared" si="3"/>
        <v>0</v>
      </c>
      <c r="N114" s="213"/>
      <c r="O114" s="215"/>
      <c r="P114" s="216"/>
      <c r="Q114" s="216"/>
      <c r="R114" s="216"/>
      <c r="S114" s="216"/>
      <c r="T114" s="216"/>
      <c r="U114" s="216"/>
      <c r="V114" s="216"/>
      <c r="W114" s="216"/>
      <c r="X114" s="216"/>
      <c r="Y114" s="216"/>
      <c r="Z114" s="216"/>
      <c r="AA114" s="216"/>
      <c r="AB114" s="216"/>
      <c r="AC114" s="216"/>
      <c r="AE114" s="70"/>
      <c r="AF114" s="340"/>
      <c r="AG114" s="340"/>
      <c r="AH114" s="341"/>
    </row>
    <row r="115" spans="1:34" ht="15.5" x14ac:dyDescent="0.3">
      <c r="A115" s="66"/>
      <c r="B115" s="1711" t="s">
        <v>211</v>
      </c>
      <c r="C115" s="1712"/>
      <c r="D115" s="1723"/>
      <c r="E115" s="1724"/>
      <c r="F115" s="1725"/>
      <c r="G115" s="1204"/>
      <c r="H115" s="1194">
        <f t="shared" si="4"/>
        <v>0</v>
      </c>
      <c r="I115" s="1195"/>
      <c r="J115" s="1465"/>
      <c r="K115" s="1466"/>
      <c r="L115" s="1468"/>
      <c r="M115" s="1203">
        <f t="shared" si="3"/>
        <v>0</v>
      </c>
      <c r="N115" s="213"/>
      <c r="O115" s="215"/>
      <c r="P115" s="216"/>
      <c r="Q115" s="216"/>
      <c r="R115" s="216"/>
      <c r="S115" s="216"/>
      <c r="T115" s="216"/>
      <c r="U115" s="216"/>
      <c r="V115" s="216"/>
      <c r="W115" s="216"/>
      <c r="X115" s="216"/>
      <c r="Y115" s="216"/>
      <c r="Z115" s="216"/>
      <c r="AA115" s="216"/>
      <c r="AB115" s="216"/>
      <c r="AC115" s="216"/>
      <c r="AE115" s="70"/>
      <c r="AF115" s="340"/>
      <c r="AG115" s="340"/>
      <c r="AH115" s="341"/>
    </row>
    <row r="116" spans="1:34" ht="15.5" x14ac:dyDescent="0.3">
      <c r="A116" s="66"/>
      <c r="B116" s="1711" t="s">
        <v>1561</v>
      </c>
      <c r="C116" s="1712"/>
      <c r="D116" s="1723"/>
      <c r="E116" s="1724"/>
      <c r="F116" s="1725"/>
      <c r="G116" s="1204"/>
      <c r="H116" s="1194">
        <f t="shared" si="4"/>
        <v>0</v>
      </c>
      <c r="I116" s="1195"/>
      <c r="J116" s="1465"/>
      <c r="K116" s="1466"/>
      <c r="L116" s="1468"/>
      <c r="M116" s="1203">
        <f t="shared" si="3"/>
        <v>0</v>
      </c>
      <c r="N116" s="213"/>
      <c r="O116" s="215"/>
      <c r="P116" s="216"/>
      <c r="Q116" s="216"/>
      <c r="R116" s="216"/>
      <c r="S116" s="216"/>
      <c r="T116" s="216"/>
      <c r="U116" s="216"/>
      <c r="V116" s="216"/>
      <c r="W116" s="216"/>
      <c r="X116" s="216"/>
      <c r="Y116" s="216"/>
      <c r="Z116" s="216"/>
      <c r="AA116" s="216"/>
      <c r="AB116" s="216"/>
      <c r="AC116" s="216"/>
      <c r="AE116" s="70"/>
      <c r="AF116" s="340"/>
      <c r="AG116" s="340"/>
      <c r="AH116" s="341"/>
    </row>
    <row r="117" spans="1:34" ht="15.5" x14ac:dyDescent="0.3">
      <c r="A117" s="66"/>
      <c r="B117" s="1711" t="s">
        <v>1562</v>
      </c>
      <c r="C117" s="1712"/>
      <c r="D117" s="1723"/>
      <c r="E117" s="1724"/>
      <c r="F117" s="1725"/>
      <c r="G117" s="1204"/>
      <c r="H117" s="1194">
        <f t="shared" si="4"/>
        <v>0</v>
      </c>
      <c r="I117" s="1195"/>
      <c r="J117" s="1465"/>
      <c r="K117" s="1466"/>
      <c r="L117" s="1468"/>
      <c r="M117" s="1203">
        <f t="shared" si="3"/>
        <v>0</v>
      </c>
      <c r="N117" s="213"/>
      <c r="O117" s="215"/>
      <c r="P117" s="216"/>
      <c r="Q117" s="216"/>
      <c r="R117" s="216"/>
      <c r="S117" s="216"/>
      <c r="T117" s="216"/>
      <c r="U117" s="216"/>
      <c r="V117" s="216"/>
      <c r="W117" s="216"/>
      <c r="X117" s="216"/>
      <c r="Y117" s="216"/>
      <c r="Z117" s="216"/>
      <c r="AA117" s="216"/>
      <c r="AB117" s="216"/>
      <c r="AC117" s="216"/>
      <c r="AE117" s="70"/>
      <c r="AF117" s="340"/>
      <c r="AG117" s="340"/>
      <c r="AH117" s="341"/>
    </row>
    <row r="118" spans="1:34" ht="15.5" x14ac:dyDescent="0.3">
      <c r="A118" s="66"/>
      <c r="B118" s="1711" t="s">
        <v>212</v>
      </c>
      <c r="C118" s="1712"/>
      <c r="D118" s="1723"/>
      <c r="E118" s="1724"/>
      <c r="F118" s="1725"/>
      <c r="G118" s="1204"/>
      <c r="H118" s="1194">
        <f t="shared" si="4"/>
        <v>0</v>
      </c>
      <c r="I118" s="1195"/>
      <c r="J118" s="1465"/>
      <c r="K118" s="1466"/>
      <c r="L118" s="1468"/>
      <c r="M118" s="1203">
        <f t="shared" si="3"/>
        <v>0</v>
      </c>
      <c r="N118" s="213"/>
      <c r="O118" s="215"/>
      <c r="P118" s="216"/>
      <c r="Q118" s="216"/>
      <c r="R118" s="216"/>
      <c r="S118" s="216"/>
      <c r="T118" s="216"/>
      <c r="U118" s="216"/>
      <c r="V118" s="216"/>
      <c r="W118" s="216"/>
      <c r="X118" s="216"/>
      <c r="Y118" s="216"/>
      <c r="Z118" s="216"/>
      <c r="AA118" s="216"/>
      <c r="AB118" s="216"/>
      <c r="AC118" s="216"/>
      <c r="AE118" s="70"/>
      <c r="AF118" s="340"/>
      <c r="AG118" s="340"/>
      <c r="AH118" s="341"/>
    </row>
    <row r="119" spans="1:34" ht="15.5" x14ac:dyDescent="0.3">
      <c r="A119" s="66"/>
      <c r="B119" s="1711" t="s">
        <v>1563</v>
      </c>
      <c r="C119" s="1712"/>
      <c r="D119" s="1723"/>
      <c r="E119" s="1724"/>
      <c r="F119" s="1725"/>
      <c r="G119" s="1204"/>
      <c r="H119" s="1194">
        <f t="shared" si="4"/>
        <v>0</v>
      </c>
      <c r="I119" s="1195"/>
      <c r="J119" s="1465"/>
      <c r="K119" s="1466"/>
      <c r="L119" s="1468"/>
      <c r="M119" s="1203">
        <f t="shared" si="3"/>
        <v>0</v>
      </c>
      <c r="N119" s="213"/>
      <c r="O119" s="215"/>
      <c r="P119" s="216"/>
      <c r="Q119" s="216"/>
      <c r="R119" s="216"/>
      <c r="S119" s="216"/>
      <c r="T119" s="216"/>
      <c r="U119" s="216"/>
      <c r="V119" s="216"/>
      <c r="W119" s="216"/>
      <c r="X119" s="216"/>
      <c r="Y119" s="216"/>
      <c r="Z119" s="216"/>
      <c r="AA119" s="216"/>
      <c r="AB119" s="216"/>
      <c r="AC119" s="216"/>
      <c r="AE119" s="70"/>
      <c r="AF119" s="340"/>
      <c r="AG119" s="340"/>
      <c r="AH119" s="341"/>
    </row>
    <row r="120" spans="1:34" ht="15.5" x14ac:dyDescent="0.3">
      <c r="A120" s="66"/>
      <c r="B120" s="1711" t="s">
        <v>1564</v>
      </c>
      <c r="C120" s="1712"/>
      <c r="D120" s="1723"/>
      <c r="E120" s="1724"/>
      <c r="F120" s="1725"/>
      <c r="G120" s="1204"/>
      <c r="H120" s="1194">
        <f t="shared" si="4"/>
        <v>0</v>
      </c>
      <c r="I120" s="1195"/>
      <c r="J120" s="1465"/>
      <c r="K120" s="1466"/>
      <c r="L120" s="1468"/>
      <c r="M120" s="1203">
        <f t="shared" si="3"/>
        <v>0</v>
      </c>
      <c r="N120" s="213"/>
      <c r="O120" s="215"/>
      <c r="P120" s="216"/>
      <c r="Q120" s="216"/>
      <c r="R120" s="216"/>
      <c r="S120" s="216"/>
      <c r="T120" s="216"/>
      <c r="U120" s="216"/>
      <c r="V120" s="216"/>
      <c r="W120" s="216"/>
      <c r="X120" s="216"/>
      <c r="Y120" s="216"/>
      <c r="Z120" s="216"/>
      <c r="AA120" s="216"/>
      <c r="AB120" s="216"/>
      <c r="AC120" s="216"/>
      <c r="AE120" s="70"/>
      <c r="AF120" s="340"/>
      <c r="AG120" s="340"/>
      <c r="AH120" s="341"/>
    </row>
    <row r="121" spans="1:34" ht="15.5" x14ac:dyDescent="0.3">
      <c r="A121" s="66"/>
      <c r="B121" s="1711" t="s">
        <v>1565</v>
      </c>
      <c r="C121" s="1712"/>
      <c r="D121" s="1723"/>
      <c r="E121" s="1724"/>
      <c r="F121" s="1725"/>
      <c r="G121" s="1204"/>
      <c r="H121" s="1194">
        <f t="shared" si="4"/>
        <v>0</v>
      </c>
      <c r="I121" s="1195"/>
      <c r="J121" s="1465"/>
      <c r="K121" s="1466"/>
      <c r="L121" s="1468"/>
      <c r="M121" s="1203">
        <f t="shared" si="3"/>
        <v>0</v>
      </c>
      <c r="N121" s="213"/>
      <c r="O121" s="215"/>
      <c r="P121" s="216"/>
      <c r="Q121" s="216"/>
      <c r="R121" s="216"/>
      <c r="S121" s="216"/>
      <c r="T121" s="216"/>
      <c r="U121" s="216"/>
      <c r="V121" s="216"/>
      <c r="W121" s="216"/>
      <c r="X121" s="216"/>
      <c r="Y121" s="216"/>
      <c r="Z121" s="216"/>
      <c r="AA121" s="216"/>
      <c r="AB121" s="216"/>
      <c r="AC121" s="216"/>
      <c r="AE121" s="70"/>
      <c r="AF121" s="340"/>
      <c r="AG121" s="340"/>
      <c r="AH121" s="341"/>
    </row>
    <row r="122" spans="1:34" ht="15.5" x14ac:dyDescent="0.3">
      <c r="A122" s="66"/>
      <c r="B122" s="1711" t="s">
        <v>1566</v>
      </c>
      <c r="C122" s="1712"/>
      <c r="D122" s="1723"/>
      <c r="E122" s="1724"/>
      <c r="F122" s="1725"/>
      <c r="G122" s="1204"/>
      <c r="H122" s="1194">
        <f t="shared" si="4"/>
        <v>0</v>
      </c>
      <c r="I122" s="1195"/>
      <c r="J122" s="1465"/>
      <c r="K122" s="1466"/>
      <c r="L122" s="1468"/>
      <c r="M122" s="1203">
        <f t="shared" si="3"/>
        <v>0</v>
      </c>
      <c r="N122" s="213"/>
      <c r="O122" s="215"/>
      <c r="P122" s="216"/>
      <c r="Q122" s="216"/>
      <c r="R122" s="216"/>
      <c r="S122" s="216"/>
      <c r="T122" s="216"/>
      <c r="U122" s="216"/>
      <c r="V122" s="216"/>
      <c r="W122" s="216"/>
      <c r="X122" s="216"/>
      <c r="Y122" s="216"/>
      <c r="Z122" s="216"/>
      <c r="AA122" s="216"/>
      <c r="AB122" s="216"/>
      <c r="AC122" s="216"/>
      <c r="AE122" s="70"/>
      <c r="AF122" s="340"/>
      <c r="AG122" s="340"/>
      <c r="AH122" s="341"/>
    </row>
    <row r="123" spans="1:34" ht="15.5" x14ac:dyDescent="0.3">
      <c r="A123" s="66"/>
      <c r="B123" s="1711" t="s">
        <v>1567</v>
      </c>
      <c r="C123" s="1712"/>
      <c r="D123" s="1723"/>
      <c r="E123" s="1724"/>
      <c r="F123" s="1725"/>
      <c r="G123" s="1204"/>
      <c r="H123" s="1194">
        <f t="shared" si="4"/>
        <v>0</v>
      </c>
      <c r="I123" s="1195"/>
      <c r="J123" s="1465"/>
      <c r="K123" s="1466"/>
      <c r="L123" s="1468"/>
      <c r="M123" s="1203">
        <f t="shared" si="3"/>
        <v>0</v>
      </c>
      <c r="N123" s="213"/>
      <c r="O123" s="215"/>
      <c r="P123" s="216"/>
      <c r="Q123" s="216"/>
      <c r="R123" s="216"/>
      <c r="S123" s="216"/>
      <c r="T123" s="216"/>
      <c r="U123" s="216"/>
      <c r="V123" s="216"/>
      <c r="W123" s="216"/>
      <c r="X123" s="216"/>
      <c r="Y123" s="216"/>
      <c r="Z123" s="216"/>
      <c r="AA123" s="216"/>
      <c r="AB123" s="216"/>
      <c r="AC123" s="216"/>
      <c r="AE123" s="70"/>
      <c r="AF123" s="340"/>
      <c r="AG123" s="340"/>
      <c r="AH123" s="341"/>
    </row>
    <row r="124" spans="1:34" ht="15.5" x14ac:dyDescent="0.3">
      <c r="A124" s="66"/>
      <c r="B124" s="1711" t="s">
        <v>1568</v>
      </c>
      <c r="C124" s="1712"/>
      <c r="D124" s="1723"/>
      <c r="E124" s="1724"/>
      <c r="F124" s="1725"/>
      <c r="G124" s="1204"/>
      <c r="H124" s="1194">
        <f t="shared" si="4"/>
        <v>0</v>
      </c>
      <c r="I124" s="1195"/>
      <c r="J124" s="1465"/>
      <c r="K124" s="1466"/>
      <c r="L124" s="1468"/>
      <c r="M124" s="1203">
        <f t="shared" si="3"/>
        <v>0</v>
      </c>
      <c r="N124" s="213"/>
      <c r="O124" s="215"/>
      <c r="P124" s="216"/>
      <c r="Q124" s="216"/>
      <c r="R124" s="216"/>
      <c r="S124" s="216"/>
      <c r="T124" s="216"/>
      <c r="U124" s="216"/>
      <c r="V124" s="216"/>
      <c r="W124" s="216"/>
      <c r="X124" s="216"/>
      <c r="Y124" s="216"/>
      <c r="Z124" s="216"/>
      <c r="AA124" s="216"/>
      <c r="AB124" s="216"/>
      <c r="AC124" s="216"/>
      <c r="AE124" s="70"/>
      <c r="AF124" s="340"/>
      <c r="AG124" s="340"/>
      <c r="AH124" s="341"/>
    </row>
    <row r="125" spans="1:34" ht="15.5" x14ac:dyDescent="0.3">
      <c r="A125" s="66"/>
      <c r="B125" s="1711" t="s">
        <v>1569</v>
      </c>
      <c r="C125" s="1712"/>
      <c r="D125" s="1723"/>
      <c r="E125" s="1724"/>
      <c r="F125" s="1725"/>
      <c r="G125" s="1204"/>
      <c r="H125" s="1194">
        <f t="shared" si="4"/>
        <v>0</v>
      </c>
      <c r="I125" s="1195"/>
      <c r="J125" s="1465"/>
      <c r="K125" s="1466"/>
      <c r="L125" s="1468"/>
      <c r="M125" s="1203">
        <f t="shared" si="3"/>
        <v>0</v>
      </c>
      <c r="N125" s="213"/>
      <c r="O125" s="215"/>
      <c r="P125" s="216"/>
      <c r="Q125" s="216"/>
      <c r="R125" s="216"/>
      <c r="S125" s="216"/>
      <c r="T125" s="216"/>
      <c r="U125" s="216"/>
      <c r="V125" s="216"/>
      <c r="W125" s="216"/>
      <c r="X125" s="216"/>
      <c r="Y125" s="216"/>
      <c r="Z125" s="216"/>
      <c r="AA125" s="216"/>
      <c r="AB125" s="216"/>
      <c r="AC125" s="216"/>
      <c r="AE125" s="70"/>
      <c r="AF125" s="340"/>
      <c r="AG125" s="340"/>
      <c r="AH125" s="341"/>
    </row>
    <row r="126" spans="1:34" ht="15.5" x14ac:dyDescent="0.3">
      <c r="A126" s="66"/>
      <c r="B126" s="1711" t="s">
        <v>1570</v>
      </c>
      <c r="C126" s="1712"/>
      <c r="D126" s="1723"/>
      <c r="E126" s="1724"/>
      <c r="F126" s="1725"/>
      <c r="G126" s="1204"/>
      <c r="H126" s="1194">
        <f t="shared" si="4"/>
        <v>0</v>
      </c>
      <c r="I126" s="1195"/>
      <c r="J126" s="1465"/>
      <c r="K126" s="1466"/>
      <c r="L126" s="1468"/>
      <c r="M126" s="1203">
        <f t="shared" si="3"/>
        <v>0</v>
      </c>
      <c r="N126" s="213"/>
      <c r="O126" s="215"/>
      <c r="P126" s="216"/>
      <c r="Q126" s="216"/>
      <c r="R126" s="216"/>
      <c r="S126" s="216"/>
      <c r="T126" s="216"/>
      <c r="U126" s="216"/>
      <c r="V126" s="216"/>
      <c r="W126" s="216"/>
      <c r="X126" s="216"/>
      <c r="Y126" s="216"/>
      <c r="Z126" s="216"/>
      <c r="AA126" s="216"/>
      <c r="AB126" s="216"/>
      <c r="AC126" s="216"/>
      <c r="AE126" s="70"/>
      <c r="AF126" s="340"/>
      <c r="AG126" s="340"/>
      <c r="AH126" s="341"/>
    </row>
    <row r="127" spans="1:34" ht="15.5" x14ac:dyDescent="0.3">
      <c r="A127" s="66"/>
      <c r="B127" s="1711" t="s">
        <v>1571</v>
      </c>
      <c r="C127" s="1712"/>
      <c r="D127" s="1723"/>
      <c r="E127" s="1724"/>
      <c r="F127" s="1725"/>
      <c r="G127" s="1204"/>
      <c r="H127" s="1194">
        <f t="shared" si="4"/>
        <v>0</v>
      </c>
      <c r="I127" s="1195"/>
      <c r="J127" s="1465"/>
      <c r="K127" s="1466"/>
      <c r="L127" s="1468"/>
      <c r="M127" s="1203">
        <f t="shared" si="3"/>
        <v>0</v>
      </c>
      <c r="N127" s="213"/>
      <c r="O127" s="215"/>
      <c r="P127" s="216"/>
      <c r="Q127" s="216"/>
      <c r="R127" s="216"/>
      <c r="S127" s="216"/>
      <c r="T127" s="216"/>
      <c r="U127" s="216"/>
      <c r="V127" s="216"/>
      <c r="W127" s="216"/>
      <c r="X127" s="216"/>
      <c r="Y127" s="216"/>
      <c r="Z127" s="216"/>
      <c r="AA127" s="216"/>
      <c r="AB127" s="216"/>
      <c r="AC127" s="216"/>
      <c r="AE127" s="70"/>
      <c r="AF127" s="340"/>
      <c r="AG127" s="340"/>
      <c r="AH127" s="341"/>
    </row>
    <row r="128" spans="1:34" ht="15.5" x14ac:dyDescent="0.3">
      <c r="A128" s="66"/>
      <c r="B128" s="1711" t="s">
        <v>213</v>
      </c>
      <c r="C128" s="1712"/>
      <c r="D128" s="1723"/>
      <c r="E128" s="1724"/>
      <c r="F128" s="1725"/>
      <c r="G128" s="1204"/>
      <c r="H128" s="1194">
        <f t="shared" si="4"/>
        <v>0</v>
      </c>
      <c r="I128" s="1195"/>
      <c r="J128" s="1465"/>
      <c r="K128" s="1466"/>
      <c r="L128" s="1468"/>
      <c r="M128" s="1203">
        <f t="shared" si="3"/>
        <v>0</v>
      </c>
      <c r="N128" s="213"/>
      <c r="O128" s="215"/>
      <c r="P128" s="216"/>
      <c r="Q128" s="216"/>
      <c r="R128" s="216"/>
      <c r="S128" s="216"/>
      <c r="T128" s="216"/>
      <c r="U128" s="216"/>
      <c r="V128" s="216"/>
      <c r="W128" s="216"/>
      <c r="X128" s="216"/>
      <c r="Y128" s="216"/>
      <c r="Z128" s="216"/>
      <c r="AA128" s="216"/>
      <c r="AB128" s="216"/>
      <c r="AC128" s="216"/>
      <c r="AE128" s="70"/>
      <c r="AF128" s="340"/>
      <c r="AG128" s="340"/>
      <c r="AH128" s="341"/>
    </row>
    <row r="129" spans="1:45" ht="15.5" x14ac:dyDescent="0.3">
      <c r="A129" s="66"/>
      <c r="B129" s="1711" t="s">
        <v>214</v>
      </c>
      <c r="C129" s="1712"/>
      <c r="D129" s="1723"/>
      <c r="E129" s="1724"/>
      <c r="F129" s="1725"/>
      <c r="G129" s="1204"/>
      <c r="H129" s="1194">
        <f t="shared" si="4"/>
        <v>0</v>
      </c>
      <c r="I129" s="1195"/>
      <c r="J129" s="1465"/>
      <c r="K129" s="1466"/>
      <c r="L129" s="1468"/>
      <c r="M129" s="1203">
        <f t="shared" si="3"/>
        <v>0</v>
      </c>
      <c r="N129" s="213"/>
      <c r="O129" s="215"/>
      <c r="P129" s="216"/>
      <c r="Q129" s="216"/>
      <c r="R129" s="216"/>
      <c r="S129" s="216"/>
      <c r="T129" s="216"/>
      <c r="U129" s="216"/>
      <c r="V129" s="216"/>
      <c r="W129" s="216"/>
      <c r="X129" s="216"/>
      <c r="Y129" s="216"/>
      <c r="Z129" s="216"/>
      <c r="AA129" s="216"/>
      <c r="AB129" s="216"/>
      <c r="AC129" s="216"/>
      <c r="AE129" s="70"/>
      <c r="AF129" s="340"/>
      <c r="AG129" s="340"/>
      <c r="AH129" s="341"/>
    </row>
    <row r="130" spans="1:45" ht="15.5" x14ac:dyDescent="0.3">
      <c r="A130" s="66"/>
      <c r="B130" s="1711" t="s">
        <v>215</v>
      </c>
      <c r="C130" s="1712"/>
      <c r="D130" s="1723"/>
      <c r="E130" s="1724"/>
      <c r="F130" s="1725"/>
      <c r="G130" s="1204"/>
      <c r="H130" s="1194">
        <f t="shared" si="4"/>
        <v>0</v>
      </c>
      <c r="I130" s="1195"/>
      <c r="J130" s="1465"/>
      <c r="K130" s="1466"/>
      <c r="L130" s="1468"/>
      <c r="M130" s="1203">
        <f t="shared" si="3"/>
        <v>0</v>
      </c>
      <c r="N130" s="213"/>
      <c r="O130" s="215"/>
      <c r="P130" s="216"/>
      <c r="Q130" s="216"/>
      <c r="R130" s="216"/>
      <c r="S130" s="216"/>
      <c r="T130" s="216"/>
      <c r="U130" s="216"/>
      <c r="V130" s="216"/>
      <c r="W130" s="216"/>
      <c r="X130" s="216"/>
      <c r="Y130" s="216"/>
      <c r="Z130" s="216"/>
      <c r="AA130" s="216"/>
      <c r="AB130" s="216"/>
      <c r="AC130" s="216"/>
      <c r="AE130" s="70"/>
      <c r="AF130" s="340"/>
      <c r="AG130" s="340"/>
      <c r="AH130" s="341"/>
    </row>
    <row r="131" spans="1:45" ht="15.5" x14ac:dyDescent="0.3">
      <c r="A131" s="66"/>
      <c r="B131" s="1711" t="s">
        <v>1572</v>
      </c>
      <c r="C131" s="1712"/>
      <c r="D131" s="1723"/>
      <c r="E131" s="1724"/>
      <c r="F131" s="1725"/>
      <c r="G131" s="1204"/>
      <c r="H131" s="1194">
        <f t="shared" si="4"/>
        <v>0</v>
      </c>
      <c r="I131" s="1195"/>
      <c r="J131" s="1465"/>
      <c r="K131" s="1466"/>
      <c r="L131" s="1468"/>
      <c r="M131" s="1203">
        <f t="shared" si="3"/>
        <v>0</v>
      </c>
      <c r="N131" s="213"/>
      <c r="O131" s="215"/>
      <c r="P131" s="216"/>
      <c r="Q131" s="216"/>
      <c r="R131" s="216"/>
      <c r="S131" s="216"/>
      <c r="T131" s="216"/>
      <c r="U131" s="216"/>
      <c r="V131" s="216"/>
      <c r="W131" s="216"/>
      <c r="X131" s="216"/>
      <c r="Y131" s="216"/>
      <c r="Z131" s="216"/>
      <c r="AA131" s="216"/>
      <c r="AB131" s="216"/>
      <c r="AC131" s="216"/>
      <c r="AE131" s="70"/>
      <c r="AF131" s="340"/>
      <c r="AG131" s="340"/>
      <c r="AH131" s="341"/>
    </row>
    <row r="132" spans="1:45" ht="15.5" x14ac:dyDescent="0.3">
      <c r="A132" s="66"/>
      <c r="B132" s="1711" t="s">
        <v>1573</v>
      </c>
      <c r="C132" s="1712"/>
      <c r="D132" s="1723"/>
      <c r="E132" s="1724"/>
      <c r="F132" s="1725"/>
      <c r="G132" s="1204"/>
      <c r="H132" s="1194">
        <f t="shared" si="4"/>
        <v>0</v>
      </c>
      <c r="I132" s="1195"/>
      <c r="J132" s="1465"/>
      <c r="K132" s="1466"/>
      <c r="L132" s="1468"/>
      <c r="M132" s="1203">
        <f t="shared" si="3"/>
        <v>0</v>
      </c>
      <c r="N132" s="213"/>
      <c r="O132" s="215"/>
      <c r="P132" s="216"/>
      <c r="Q132" s="216"/>
      <c r="R132" s="216"/>
      <c r="S132" s="216"/>
      <c r="T132" s="216"/>
      <c r="U132" s="216"/>
      <c r="V132" s="216"/>
      <c r="W132" s="216"/>
      <c r="X132" s="216"/>
      <c r="Y132" s="216"/>
      <c r="Z132" s="216"/>
      <c r="AA132" s="216"/>
      <c r="AB132" s="216"/>
      <c r="AC132" s="216"/>
      <c r="AE132" s="70"/>
      <c r="AF132" s="340"/>
      <c r="AG132" s="340"/>
      <c r="AH132" s="341"/>
    </row>
    <row r="133" spans="1:45" ht="15.5" x14ac:dyDescent="0.3">
      <c r="A133" s="66"/>
      <c r="B133" s="1730" t="s">
        <v>1574</v>
      </c>
      <c r="C133" s="1731"/>
      <c r="D133" s="1723"/>
      <c r="E133" s="1724"/>
      <c r="F133" s="1725"/>
      <c r="G133" s="1204"/>
      <c r="H133" s="1194">
        <f t="shared" si="4"/>
        <v>0</v>
      </c>
      <c r="I133" s="1195"/>
      <c r="J133" s="1465"/>
      <c r="K133" s="1466"/>
      <c r="L133" s="1468"/>
      <c r="M133" s="1203">
        <f t="shared" si="3"/>
        <v>0</v>
      </c>
      <c r="N133" s="213"/>
      <c r="O133" s="215"/>
      <c r="P133" s="216"/>
      <c r="Q133" s="216"/>
      <c r="R133" s="216"/>
      <c r="S133" s="216"/>
      <c r="T133" s="216"/>
      <c r="U133" s="216"/>
      <c r="V133" s="216"/>
      <c r="W133" s="216"/>
      <c r="X133" s="216"/>
      <c r="Y133" s="216"/>
      <c r="Z133" s="216"/>
      <c r="AA133" s="216"/>
      <c r="AB133" s="216"/>
      <c r="AC133" s="216"/>
      <c r="AE133" s="70"/>
      <c r="AF133" s="340"/>
      <c r="AG133" s="340"/>
      <c r="AH133" s="341"/>
    </row>
    <row r="134" spans="1:45" ht="15.5" x14ac:dyDescent="0.3">
      <c r="A134" s="66"/>
      <c r="B134" s="2077"/>
      <c r="C134" s="2078"/>
      <c r="D134" s="1723"/>
      <c r="E134" s="1724"/>
      <c r="F134" s="1725"/>
      <c r="G134" s="1204"/>
      <c r="H134" s="1194">
        <f t="shared" si="4"/>
        <v>0</v>
      </c>
      <c r="I134" s="1195"/>
      <c r="J134" s="1726"/>
      <c r="K134" s="1727"/>
      <c r="L134" s="1205"/>
      <c r="M134" s="1203">
        <f t="shared" si="3"/>
        <v>0</v>
      </c>
      <c r="N134" s="213"/>
      <c r="O134" s="215"/>
      <c r="P134" s="216"/>
      <c r="Q134" s="216"/>
      <c r="R134" s="216"/>
      <c r="S134" s="216"/>
      <c r="T134" s="216"/>
      <c r="U134" s="216"/>
      <c r="V134" s="216"/>
      <c r="W134" s="216"/>
      <c r="X134" s="216"/>
      <c r="Y134" s="216"/>
      <c r="Z134" s="216"/>
      <c r="AA134" s="216"/>
      <c r="AB134" s="216"/>
      <c r="AC134" s="216"/>
      <c r="AE134" s="70"/>
      <c r="AF134" s="340"/>
      <c r="AG134" s="340"/>
      <c r="AH134" s="341"/>
    </row>
    <row r="135" spans="1:45" ht="16" thickBot="1" x14ac:dyDescent="0.35">
      <c r="A135" s="66"/>
      <c r="B135" s="2075" t="s">
        <v>116</v>
      </c>
      <c r="C135" s="2076"/>
      <c r="D135" s="1591">
        <f>SUM(D72:F134)</f>
        <v>3316369326</v>
      </c>
      <c r="E135" s="1592"/>
      <c r="F135" s="1593"/>
      <c r="G135" s="1185">
        <f>SUM(G72:G134)</f>
        <v>2548</v>
      </c>
      <c r="H135" s="1186">
        <f>SUM(H72:H134)</f>
        <v>3316366778</v>
      </c>
      <c r="I135" s="1187"/>
      <c r="J135" s="1666">
        <f>SUM(J72:K134)</f>
        <v>3399287435</v>
      </c>
      <c r="K135" s="1667"/>
      <c r="L135" s="1188">
        <f>SUM(L72:L134)</f>
        <v>834</v>
      </c>
      <c r="M135" s="1188">
        <f>SUM(M72:M134)</f>
        <v>3399286601</v>
      </c>
      <c r="N135" s="213"/>
      <c r="O135" s="217"/>
      <c r="P135" s="217"/>
      <c r="Q135" s="217"/>
      <c r="R135" s="217"/>
      <c r="S135" s="217"/>
      <c r="T135" s="217"/>
      <c r="U135" s="217"/>
      <c r="V135" s="217"/>
      <c r="W135" s="217"/>
      <c r="X135" s="217"/>
      <c r="Y135" s="217"/>
      <c r="Z135" s="217"/>
      <c r="AA135" s="217"/>
      <c r="AB135" s="217"/>
      <c r="AC135" s="217"/>
      <c r="AG135" s="70"/>
    </row>
    <row r="136" spans="1:45" ht="16.5" thickTop="1" thickBot="1" x14ac:dyDescent="0.4">
      <c r="A136" s="66"/>
      <c r="B136" s="1722" t="str">
        <f>B69</f>
        <v>31 Desember 2019</v>
      </c>
      <c r="C136" s="1722"/>
      <c r="D136" s="1722"/>
      <c r="E136" s="1722"/>
      <c r="F136" s="1722"/>
      <c r="G136" s="1722"/>
      <c r="H136" s="1722"/>
      <c r="I136" s="230"/>
      <c r="J136" s="1722" t="str">
        <f>J69</f>
        <v>31 Desember 2018</v>
      </c>
      <c r="K136" s="1722"/>
      <c r="L136" s="1722"/>
      <c r="M136" s="1722"/>
      <c r="N136" s="225"/>
      <c r="O136" s="220"/>
      <c r="P136" s="1797" t="s">
        <v>1157</v>
      </c>
      <c r="Q136" s="1797"/>
      <c r="R136" s="1797"/>
      <c r="S136" s="1797"/>
      <c r="T136" s="1797"/>
      <c r="U136" s="1797"/>
      <c r="V136" s="1797"/>
      <c r="W136" s="1797"/>
      <c r="X136" s="1797"/>
      <c r="Y136" s="1797"/>
      <c r="Z136" s="1797"/>
      <c r="AA136" s="1797"/>
      <c r="AB136" s="1797"/>
      <c r="AC136" s="221"/>
      <c r="AD136" s="82"/>
      <c r="AE136" s="83"/>
      <c r="AG136" s="70"/>
      <c r="AH136" s="83"/>
      <c r="AI136" s="82"/>
    </row>
    <row r="137" spans="1:45" ht="42.75" customHeight="1" thickTop="1" thickBot="1" x14ac:dyDescent="0.35">
      <c r="A137" s="66"/>
      <c r="B137" s="1668" t="s">
        <v>230</v>
      </c>
      <c r="C137" s="1669"/>
      <c r="D137" s="1669"/>
      <c r="E137" s="1669"/>
      <c r="F137" s="1669"/>
      <c r="G137" s="1669"/>
      <c r="H137" s="1669"/>
      <c r="I137" s="1669"/>
      <c r="J137" s="1669"/>
      <c r="K137" s="1669"/>
      <c r="L137" s="1669"/>
      <c r="M137" s="1670"/>
      <c r="N137" s="221"/>
      <c r="O137" s="221"/>
      <c r="P137" s="1901" t="s">
        <v>1124</v>
      </c>
      <c r="Q137" s="1901"/>
      <c r="R137" s="1901"/>
      <c r="S137" s="1901"/>
      <c r="T137" s="1901"/>
      <c r="U137" s="1901"/>
      <c r="V137" s="1901"/>
      <c r="W137" s="1901" t="str">
        <f>""&amp;$L$24&amp;" (Rp)"</f>
        <v>TA 2019 (Rp)</v>
      </c>
      <c r="X137" s="1901"/>
      <c r="Y137" s="1901"/>
      <c r="Z137" s="1901" t="str">
        <f>""&amp;$L$25&amp;" (Rp)"</f>
        <v>TA 2018 (Rp)</v>
      </c>
      <c r="AA137" s="1901"/>
      <c r="AB137" s="1901"/>
      <c r="AC137" s="221"/>
      <c r="AD137" s="82"/>
      <c r="AE137" s="83"/>
      <c r="AG137" s="70"/>
      <c r="AH137" s="83"/>
      <c r="AI137" s="82"/>
    </row>
    <row r="138" spans="1:45" ht="16" thickTop="1" x14ac:dyDescent="0.35">
      <c r="A138" s="66"/>
      <c r="B138" s="1710"/>
      <c r="C138" s="1601"/>
      <c r="D138" s="1584" t="s">
        <v>46</v>
      </c>
      <c r="E138" s="1713"/>
      <c r="F138" s="1585"/>
      <c r="G138" s="1189" t="s">
        <v>175</v>
      </c>
      <c r="H138" s="1190" t="s">
        <v>183</v>
      </c>
      <c r="I138" s="1191"/>
      <c r="J138" s="1584" t="s">
        <v>46</v>
      </c>
      <c r="K138" s="1585"/>
      <c r="L138" s="1189" t="s">
        <v>175</v>
      </c>
      <c r="M138" s="1192" t="s">
        <v>183</v>
      </c>
      <c r="N138" s="221"/>
      <c r="O138" s="222" t="s">
        <v>1110</v>
      </c>
      <c r="P138" s="1895" t="s">
        <v>1112</v>
      </c>
      <c r="Q138" s="1896"/>
      <c r="R138" s="1896"/>
      <c r="S138" s="1896"/>
      <c r="T138" s="1896"/>
      <c r="U138" s="1896"/>
      <c r="V138" s="1897"/>
      <c r="W138" s="1721">
        <f>D135</f>
        <v>3316369326</v>
      </c>
      <c r="X138" s="1721"/>
      <c r="Y138" s="1721"/>
      <c r="Z138" s="1721">
        <f>$J$135</f>
        <v>3399287435</v>
      </c>
      <c r="AA138" s="1721"/>
      <c r="AB138" s="1721"/>
      <c r="AC138" s="221"/>
      <c r="AD138" s="82"/>
      <c r="AE138" s="83"/>
      <c r="AG138" s="70"/>
      <c r="AH138" s="83"/>
      <c r="AI138" s="82"/>
      <c r="AM138" s="1900"/>
      <c r="AN138" s="1900"/>
      <c r="AO138" s="1900"/>
      <c r="AP138" s="1900"/>
      <c r="AQ138" s="1900"/>
      <c r="AR138" s="1900"/>
      <c r="AS138" s="1900"/>
    </row>
    <row r="139" spans="1:45" ht="15.5" x14ac:dyDescent="0.35">
      <c r="A139" s="66"/>
      <c r="B139" s="1711" t="s">
        <v>1575</v>
      </c>
      <c r="C139" s="1712"/>
      <c r="D139" s="1586"/>
      <c r="E139" s="1587"/>
      <c r="F139" s="1588"/>
      <c r="G139" s="1193"/>
      <c r="H139" s="1194">
        <f>D139-G139</f>
        <v>0</v>
      </c>
      <c r="I139" s="1195"/>
      <c r="J139" s="1659"/>
      <c r="K139" s="1660"/>
      <c r="L139" s="1196"/>
      <c r="M139" s="1197">
        <f>J139-L139</f>
        <v>0</v>
      </c>
      <c r="N139" s="221"/>
      <c r="O139" s="222" t="s">
        <v>1116</v>
      </c>
      <c r="P139" s="1717" t="s">
        <v>1113</v>
      </c>
      <c r="Q139" s="1718"/>
      <c r="R139" s="1718"/>
      <c r="S139" s="1718"/>
      <c r="T139" s="1718"/>
      <c r="U139" s="1718"/>
      <c r="V139" s="1719"/>
      <c r="W139" s="1716">
        <f>$D$165</f>
        <v>0</v>
      </c>
      <c r="X139" s="1716"/>
      <c r="Y139" s="1716"/>
      <c r="Z139" s="1716">
        <f>$J$165</f>
        <v>0</v>
      </c>
      <c r="AA139" s="1716"/>
      <c r="AB139" s="1716"/>
      <c r="AC139" s="221"/>
      <c r="AD139" s="82"/>
      <c r="AE139" s="83"/>
      <c r="AF139" s="2101">
        <v>511211</v>
      </c>
      <c r="AG139" s="2101"/>
      <c r="AH139" s="83"/>
      <c r="AI139" s="82"/>
      <c r="AM139" s="1900"/>
      <c r="AN139" s="1900"/>
      <c r="AO139" s="1900"/>
      <c r="AP139" s="1900"/>
      <c r="AQ139" s="1900"/>
      <c r="AR139" s="1900"/>
      <c r="AS139" s="1900"/>
    </row>
    <row r="140" spans="1:45" ht="15.5" x14ac:dyDescent="0.35">
      <c r="A140" s="66"/>
      <c r="B140" s="1711" t="s">
        <v>1576</v>
      </c>
      <c r="C140" s="1712"/>
      <c r="D140" s="1586"/>
      <c r="E140" s="1587"/>
      <c r="F140" s="1588"/>
      <c r="G140" s="1193"/>
      <c r="H140" s="1194">
        <f t="shared" ref="H140:H151" si="5">D140-G140</f>
        <v>0</v>
      </c>
      <c r="I140" s="1195"/>
      <c r="J140" s="1659"/>
      <c r="K140" s="1660"/>
      <c r="L140" s="1196"/>
      <c r="M140" s="1197">
        <f>J140-L140</f>
        <v>0</v>
      </c>
      <c r="N140" s="221"/>
      <c r="O140" s="222" t="s">
        <v>1117</v>
      </c>
      <c r="P140" s="1717" t="s">
        <v>1114</v>
      </c>
      <c r="Q140" s="1718"/>
      <c r="R140" s="1718"/>
      <c r="S140" s="1718"/>
      <c r="T140" s="1718"/>
      <c r="U140" s="1718"/>
      <c r="V140" s="1719"/>
      <c r="W140" s="1716">
        <f>$D$185</f>
        <v>0</v>
      </c>
      <c r="X140" s="1716"/>
      <c r="Y140" s="1716"/>
      <c r="Z140" s="1716">
        <f>$J$185</f>
        <v>0</v>
      </c>
      <c r="AA140" s="1716"/>
      <c r="AB140" s="1716"/>
      <c r="AC140" s="221"/>
      <c r="AD140" s="82"/>
      <c r="AE140" s="83"/>
      <c r="AF140" s="2101">
        <v>511219</v>
      </c>
      <c r="AG140" s="2101"/>
      <c r="AH140" s="83"/>
      <c r="AI140" s="82"/>
      <c r="AM140" s="1900"/>
      <c r="AN140" s="1900"/>
      <c r="AO140" s="1900"/>
      <c r="AP140" s="1900"/>
      <c r="AQ140" s="1900"/>
      <c r="AR140" s="1900"/>
      <c r="AS140" s="1900"/>
    </row>
    <row r="141" spans="1:45" ht="15.5" x14ac:dyDescent="0.35">
      <c r="A141" s="66"/>
      <c r="B141" s="1711" t="s">
        <v>1577</v>
      </c>
      <c r="C141" s="1712"/>
      <c r="D141" s="1586"/>
      <c r="E141" s="1587"/>
      <c r="F141" s="1588"/>
      <c r="G141" s="1193"/>
      <c r="H141" s="1194">
        <f t="shared" si="5"/>
        <v>0</v>
      </c>
      <c r="I141" s="1198"/>
      <c r="J141" s="1659"/>
      <c r="K141" s="1660"/>
      <c r="L141" s="1196"/>
      <c r="M141" s="1197">
        <f>J141-L141</f>
        <v>0</v>
      </c>
      <c r="N141" s="221"/>
      <c r="O141" s="222" t="s">
        <v>1118</v>
      </c>
      <c r="P141" s="1717" t="s">
        <v>1634</v>
      </c>
      <c r="Q141" s="1718"/>
      <c r="R141" s="1718"/>
      <c r="S141" s="1718"/>
      <c r="T141" s="1718"/>
      <c r="U141" s="1718"/>
      <c r="V141" s="1719"/>
      <c r="W141" s="1716">
        <f>$D$208</f>
        <v>0</v>
      </c>
      <c r="X141" s="1716"/>
      <c r="Y141" s="1716"/>
      <c r="Z141" s="1716">
        <f>$J$208</f>
        <v>0</v>
      </c>
      <c r="AA141" s="1716"/>
      <c r="AB141" s="1716"/>
      <c r="AC141" s="221"/>
      <c r="AD141" s="82"/>
      <c r="AE141" s="83"/>
      <c r="AF141" s="2101">
        <v>511221</v>
      </c>
      <c r="AG141" s="2101"/>
      <c r="AH141" s="83"/>
      <c r="AI141" s="82"/>
      <c r="AM141" s="1900"/>
      <c r="AN141" s="1900"/>
      <c r="AO141" s="1900"/>
      <c r="AP141" s="1900"/>
      <c r="AQ141" s="1900"/>
      <c r="AR141" s="1900"/>
      <c r="AS141" s="1900"/>
    </row>
    <row r="142" spans="1:45" ht="15.5" x14ac:dyDescent="0.35">
      <c r="A142" s="66"/>
      <c r="B142" s="1711" t="s">
        <v>1578</v>
      </c>
      <c r="C142" s="1712"/>
      <c r="D142" s="1586"/>
      <c r="E142" s="1587"/>
      <c r="F142" s="1588"/>
      <c r="G142" s="1193"/>
      <c r="H142" s="1194">
        <f t="shared" si="5"/>
        <v>0</v>
      </c>
      <c r="I142" s="1199"/>
      <c r="J142" s="1659"/>
      <c r="K142" s="1660"/>
      <c r="L142" s="1196"/>
      <c r="M142" s="1197">
        <f>J142-L142</f>
        <v>0</v>
      </c>
      <c r="N142" s="221"/>
      <c r="O142" s="222" t="s">
        <v>1119</v>
      </c>
      <c r="P142" s="1717" t="s">
        <v>1115</v>
      </c>
      <c r="Q142" s="1718"/>
      <c r="R142" s="1718"/>
      <c r="S142" s="1718"/>
      <c r="T142" s="1718"/>
      <c r="U142" s="1718"/>
      <c r="V142" s="1719"/>
      <c r="W142" s="1798">
        <f>D213</f>
        <v>0</v>
      </c>
      <c r="X142" s="1799"/>
      <c r="Y142" s="1800"/>
      <c r="Z142" s="1798">
        <f>J213</f>
        <v>0</v>
      </c>
      <c r="AA142" s="1799"/>
      <c r="AB142" s="1800"/>
      <c r="AC142" s="221"/>
      <c r="AD142" s="82"/>
      <c r="AE142" s="83"/>
      <c r="AF142" s="2101">
        <v>511222</v>
      </c>
      <c r="AG142" s="2101"/>
      <c r="AH142" s="83"/>
      <c r="AI142" s="82"/>
    </row>
    <row r="143" spans="1:45" ht="15.5" x14ac:dyDescent="0.35">
      <c r="A143" s="66"/>
      <c r="B143" s="1711" t="s">
        <v>1579</v>
      </c>
      <c r="C143" s="1712"/>
      <c r="D143" s="1586"/>
      <c r="E143" s="1587"/>
      <c r="F143" s="1588"/>
      <c r="G143" s="1193"/>
      <c r="H143" s="1194">
        <f t="shared" si="5"/>
        <v>0</v>
      </c>
      <c r="I143" s="1199"/>
      <c r="J143" s="1659"/>
      <c r="K143" s="1660"/>
      <c r="L143" s="1196"/>
      <c r="M143" s="1197">
        <f>J143-L143</f>
        <v>0</v>
      </c>
      <c r="N143" s="221"/>
      <c r="O143" s="222" t="s">
        <v>1120</v>
      </c>
      <c r="P143" s="336" t="s">
        <v>1142</v>
      </c>
      <c r="Q143" s="337"/>
      <c r="R143" s="337"/>
      <c r="S143" s="337"/>
      <c r="T143" s="337"/>
      <c r="U143" s="337"/>
      <c r="V143" s="338"/>
      <c r="W143" s="1798">
        <f>D213</f>
        <v>0</v>
      </c>
      <c r="X143" s="1799"/>
      <c r="Y143" s="1800"/>
      <c r="Z143" s="1798"/>
      <c r="AA143" s="1799"/>
      <c r="AB143" s="1800"/>
      <c r="AC143" s="221"/>
      <c r="AD143" s="82"/>
      <c r="AE143" s="83"/>
      <c r="AF143" s="2101">
        <v>511223</v>
      </c>
      <c r="AG143" s="2101"/>
      <c r="AH143" s="83"/>
      <c r="AI143" s="82"/>
    </row>
    <row r="144" spans="1:45" ht="15.5" x14ac:dyDescent="0.35">
      <c r="A144" s="66"/>
      <c r="B144" s="1711" t="s">
        <v>1580</v>
      </c>
      <c r="C144" s="1712"/>
      <c r="D144" s="1586"/>
      <c r="E144" s="1587"/>
      <c r="F144" s="1588"/>
      <c r="G144" s="1193"/>
      <c r="H144" s="1194">
        <f t="shared" si="5"/>
        <v>0</v>
      </c>
      <c r="I144" s="1200"/>
      <c r="J144" s="1659"/>
      <c r="K144" s="1660"/>
      <c r="L144" s="1196"/>
      <c r="M144" s="1197">
        <f t="shared" ref="M144:M164" si="6">J144-L144</f>
        <v>0</v>
      </c>
      <c r="N144" s="221"/>
      <c r="O144" s="222" t="s">
        <v>1121</v>
      </c>
      <c r="P144" s="336" t="s">
        <v>1111</v>
      </c>
      <c r="Q144" s="337"/>
      <c r="R144" s="337"/>
      <c r="S144" s="337"/>
      <c r="T144" s="337"/>
      <c r="U144" s="337"/>
      <c r="V144" s="338"/>
      <c r="W144" s="1798">
        <f>D214</f>
        <v>0</v>
      </c>
      <c r="X144" s="1799"/>
      <c r="Y144" s="1800"/>
      <c r="Z144" s="1798">
        <f>J214</f>
        <v>15743000</v>
      </c>
      <c r="AA144" s="1799"/>
      <c r="AB144" s="1800"/>
      <c r="AC144" s="221"/>
      <c r="AD144" s="82"/>
      <c r="AE144" s="83"/>
      <c r="AF144" s="2101">
        <v>511224</v>
      </c>
      <c r="AG144" s="2101"/>
      <c r="AH144" s="83"/>
      <c r="AI144" s="82"/>
    </row>
    <row r="145" spans="1:35" ht="15.5" x14ac:dyDescent="0.35">
      <c r="A145" s="66"/>
      <c r="B145" s="1711" t="s">
        <v>1581</v>
      </c>
      <c r="C145" s="1712"/>
      <c r="D145" s="1586"/>
      <c r="E145" s="1587"/>
      <c r="F145" s="1588"/>
      <c r="G145" s="1193"/>
      <c r="H145" s="1194">
        <f t="shared" si="5"/>
        <v>0</v>
      </c>
      <c r="I145" s="1195"/>
      <c r="J145" s="1659"/>
      <c r="K145" s="1660"/>
      <c r="L145" s="1196"/>
      <c r="M145" s="1197">
        <f t="shared" si="6"/>
        <v>0</v>
      </c>
      <c r="N145" s="221"/>
      <c r="O145" s="222" t="s">
        <v>1122</v>
      </c>
      <c r="P145" s="336" t="s">
        <v>168</v>
      </c>
      <c r="Q145" s="337"/>
      <c r="R145" s="337"/>
      <c r="S145" s="337"/>
      <c r="T145" s="337"/>
      <c r="U145" s="337"/>
      <c r="V145" s="338"/>
      <c r="W145" s="1798">
        <f>D215</f>
        <v>0</v>
      </c>
      <c r="X145" s="1799"/>
      <c r="Y145" s="1800"/>
      <c r="Z145" s="1798">
        <f>J216</f>
        <v>0</v>
      </c>
      <c r="AA145" s="1799"/>
      <c r="AB145" s="1800"/>
      <c r="AC145" s="221"/>
      <c r="AD145" s="82"/>
      <c r="AE145" s="83"/>
      <c r="AF145" s="2101">
        <v>511225</v>
      </c>
      <c r="AG145" s="2101"/>
      <c r="AH145" s="83"/>
      <c r="AI145" s="82"/>
    </row>
    <row r="146" spans="1:35" ht="15.5" x14ac:dyDescent="0.35">
      <c r="A146" s="66"/>
      <c r="B146" s="1711" t="s">
        <v>1582</v>
      </c>
      <c r="C146" s="1712"/>
      <c r="D146" s="1586"/>
      <c r="E146" s="1587"/>
      <c r="F146" s="1588"/>
      <c r="G146" s="1193"/>
      <c r="H146" s="1194">
        <f t="shared" si="5"/>
        <v>0</v>
      </c>
      <c r="I146" s="1195"/>
      <c r="J146" s="1659"/>
      <c r="K146" s="1660"/>
      <c r="L146" s="1196"/>
      <c r="M146" s="1197">
        <f t="shared" si="6"/>
        <v>0</v>
      </c>
      <c r="N146" s="221"/>
      <c r="O146" s="222"/>
      <c r="P146" s="336" t="s">
        <v>1143</v>
      </c>
      <c r="Q146" s="337"/>
      <c r="R146" s="337"/>
      <c r="S146" s="337"/>
      <c r="T146" s="337"/>
      <c r="U146" s="337"/>
      <c r="V146" s="338"/>
      <c r="W146" s="1741">
        <f>D216</f>
        <v>0</v>
      </c>
      <c r="X146" s="1741"/>
      <c r="Y146" s="1741"/>
      <c r="Z146" s="1741"/>
      <c r="AA146" s="1741"/>
      <c r="AB146" s="1741"/>
      <c r="AC146" s="221"/>
      <c r="AD146" s="82"/>
      <c r="AE146" s="83"/>
      <c r="AF146" s="2101">
        <v>511226</v>
      </c>
      <c r="AG146" s="2101"/>
      <c r="AH146" s="83"/>
      <c r="AI146" s="82"/>
    </row>
    <row r="147" spans="1:35" ht="15.75" customHeight="1" x14ac:dyDescent="0.3">
      <c r="A147" s="66"/>
      <c r="B147" s="1711" t="s">
        <v>1583</v>
      </c>
      <c r="C147" s="1712"/>
      <c r="D147" s="1586"/>
      <c r="E147" s="1587"/>
      <c r="F147" s="1588"/>
      <c r="G147" s="1193"/>
      <c r="H147" s="1194">
        <f t="shared" si="5"/>
        <v>0</v>
      </c>
      <c r="I147" s="1195"/>
      <c r="J147" s="1659"/>
      <c r="K147" s="1660"/>
      <c r="L147" s="1196"/>
      <c r="M147" s="1197">
        <f t="shared" si="6"/>
        <v>0</v>
      </c>
      <c r="N147" s="221"/>
      <c r="O147" s="221"/>
      <c r="P147" s="1737" t="s">
        <v>1108</v>
      </c>
      <c r="Q147" s="1737"/>
      <c r="R147" s="1737"/>
      <c r="S147" s="1737"/>
      <c r="T147" s="1737"/>
      <c r="U147" s="1737"/>
      <c r="V147" s="1737"/>
      <c r="W147" s="1733">
        <f>W138+W139+W140+W141+W142+W143+W144+W145+W146</f>
        <v>3316369326</v>
      </c>
      <c r="X147" s="1733"/>
      <c r="Y147" s="1733"/>
      <c r="Z147" s="1733">
        <f>Z138+Z139+Z140+Z141+Z142+Z143+Z144+Z145+Z146</f>
        <v>3415030435</v>
      </c>
      <c r="AA147" s="1733"/>
      <c r="AB147" s="1733"/>
      <c r="AC147" s="221"/>
      <c r="AD147" s="82"/>
      <c r="AE147" s="83"/>
      <c r="AF147" s="2101">
        <v>511227</v>
      </c>
      <c r="AG147" s="2101"/>
      <c r="AH147" s="83"/>
      <c r="AI147" s="82"/>
    </row>
    <row r="148" spans="1:35" ht="16.5" customHeight="1" thickBot="1" x14ac:dyDescent="0.35">
      <c r="A148" s="66"/>
      <c r="B148" s="1711" t="s">
        <v>1584</v>
      </c>
      <c r="C148" s="1712"/>
      <c r="D148" s="1586"/>
      <c r="E148" s="1587"/>
      <c r="F148" s="1588"/>
      <c r="G148" s="1193"/>
      <c r="H148" s="1194">
        <f t="shared" si="5"/>
        <v>0</v>
      </c>
      <c r="I148" s="1195"/>
      <c r="J148" s="1659"/>
      <c r="K148" s="1660"/>
      <c r="L148" s="1196"/>
      <c r="M148" s="1197">
        <f t="shared" si="6"/>
        <v>0</v>
      </c>
      <c r="N148" s="221"/>
      <c r="O148" s="221"/>
      <c r="P148" s="1737" t="s">
        <v>118</v>
      </c>
      <c r="Q148" s="1737"/>
      <c r="R148" s="1737"/>
      <c r="S148" s="1737"/>
      <c r="T148" s="1737"/>
      <c r="U148" s="1737"/>
      <c r="V148" s="1737"/>
      <c r="W148" s="1733">
        <f>$G$135+$G$165+$G$185+$G$208+$G$213+$G$214+$G$215+$G$216</f>
        <v>2548</v>
      </c>
      <c r="X148" s="1733"/>
      <c r="Y148" s="1733"/>
      <c r="Z148" s="1733">
        <f>$L$135+$L$165+$L$185+$L$208+$L$213+$L$214+$L$215+$L$216</f>
        <v>834</v>
      </c>
      <c r="AA148" s="1733"/>
      <c r="AB148" s="1733"/>
      <c r="AC148" s="221"/>
      <c r="AD148" s="82"/>
      <c r="AE148" s="83"/>
      <c r="AF148" s="2101">
        <v>511228</v>
      </c>
      <c r="AG148" s="2101"/>
      <c r="AH148" s="83"/>
      <c r="AI148" s="82"/>
    </row>
    <row r="149" spans="1:35" ht="16.5" customHeight="1" thickTop="1" x14ac:dyDescent="0.3">
      <c r="A149" s="66"/>
      <c r="B149" s="1711" t="s">
        <v>1585</v>
      </c>
      <c r="C149" s="1712"/>
      <c r="D149" s="1586"/>
      <c r="E149" s="1587"/>
      <c r="F149" s="1588"/>
      <c r="G149" s="1193"/>
      <c r="H149" s="1194">
        <f t="shared" si="5"/>
        <v>0</v>
      </c>
      <c r="I149" s="1195"/>
      <c r="J149" s="1659"/>
      <c r="K149" s="1660"/>
      <c r="L149" s="1196"/>
      <c r="M149" s="1197">
        <f t="shared" si="6"/>
        <v>0</v>
      </c>
      <c r="N149" s="221"/>
      <c r="O149" s="221"/>
      <c r="P149" s="1732" t="s">
        <v>1109</v>
      </c>
      <c r="Q149" s="1732"/>
      <c r="R149" s="1732"/>
      <c r="S149" s="1732"/>
      <c r="T149" s="1732"/>
      <c r="U149" s="1732"/>
      <c r="V149" s="1732"/>
      <c r="W149" s="1715">
        <f>W147-W148</f>
        <v>3316366778</v>
      </c>
      <c r="X149" s="1715"/>
      <c r="Y149" s="1715"/>
      <c r="Z149" s="1715">
        <f>Z147-Z148</f>
        <v>3415029601</v>
      </c>
      <c r="AA149" s="1715"/>
      <c r="AB149" s="1715"/>
      <c r="AC149" s="221"/>
      <c r="AD149" s="82"/>
      <c r="AE149" s="83"/>
      <c r="AF149" s="2101">
        <v>511229</v>
      </c>
      <c r="AG149" s="2101"/>
      <c r="AH149" s="83"/>
      <c r="AI149" s="82"/>
    </row>
    <row r="150" spans="1:35" x14ac:dyDescent="0.3">
      <c r="A150" s="66"/>
      <c r="B150" s="1711" t="s">
        <v>1586</v>
      </c>
      <c r="C150" s="1712"/>
      <c r="D150" s="1586"/>
      <c r="E150" s="1587"/>
      <c r="F150" s="1588"/>
      <c r="G150" s="1193"/>
      <c r="H150" s="1194">
        <f>D150-G150</f>
        <v>0</v>
      </c>
      <c r="I150" s="1195"/>
      <c r="J150" s="1659"/>
      <c r="K150" s="1660"/>
      <c r="L150" s="1196"/>
      <c r="M150" s="1197">
        <f t="shared" si="6"/>
        <v>0</v>
      </c>
      <c r="N150" s="221"/>
      <c r="O150" s="221"/>
      <c r="P150" s="221"/>
      <c r="Q150" s="221"/>
      <c r="R150" s="221"/>
      <c r="S150" s="221"/>
      <c r="T150" s="221"/>
      <c r="U150" s="221"/>
      <c r="V150" s="221"/>
      <c r="W150" s="221"/>
      <c r="X150" s="221"/>
      <c r="Y150" s="221"/>
      <c r="Z150" s="221"/>
      <c r="AA150" s="221"/>
      <c r="AB150" s="221"/>
      <c r="AC150" s="221"/>
      <c r="AD150" s="82"/>
      <c r="AE150" s="83"/>
      <c r="AF150" s="2101">
        <v>511231</v>
      </c>
      <c r="AG150" s="2101"/>
      <c r="AH150" s="83"/>
      <c r="AI150" s="82"/>
    </row>
    <row r="151" spans="1:35" x14ac:dyDescent="0.3">
      <c r="A151" s="66"/>
      <c r="B151" s="1711" t="s">
        <v>1587</v>
      </c>
      <c r="C151" s="1712"/>
      <c r="D151" s="1586"/>
      <c r="E151" s="1587"/>
      <c r="F151" s="1588"/>
      <c r="G151" s="1193"/>
      <c r="H151" s="1194">
        <f t="shared" si="5"/>
        <v>0</v>
      </c>
      <c r="I151" s="1195"/>
      <c r="J151" s="1659"/>
      <c r="K151" s="1660"/>
      <c r="L151" s="1196"/>
      <c r="M151" s="1197">
        <f t="shared" si="6"/>
        <v>0</v>
      </c>
      <c r="N151" s="221"/>
      <c r="O151" s="221"/>
      <c r="P151" s="221"/>
      <c r="Q151" s="221"/>
      <c r="R151" s="221"/>
      <c r="S151" s="221"/>
      <c r="T151" s="221"/>
      <c r="U151" s="221"/>
      <c r="V151" s="221"/>
      <c r="W151" s="221"/>
      <c r="X151" s="221"/>
      <c r="Y151" s="221"/>
      <c r="Z151" s="221"/>
      <c r="AA151" s="221"/>
      <c r="AB151" s="221"/>
      <c r="AC151" s="221"/>
      <c r="AD151" s="82"/>
      <c r="AE151" s="83"/>
      <c r="AF151" s="2101">
        <v>511232</v>
      </c>
      <c r="AG151" s="2101"/>
      <c r="AH151" s="83"/>
      <c r="AI151" s="82"/>
    </row>
    <row r="152" spans="1:35" x14ac:dyDescent="0.3">
      <c r="A152" s="66"/>
      <c r="B152" s="1711" t="s">
        <v>1588</v>
      </c>
      <c r="C152" s="1712"/>
      <c r="D152" s="1586"/>
      <c r="E152" s="1587"/>
      <c r="F152" s="1588"/>
      <c r="G152" s="1193"/>
      <c r="H152" s="1194">
        <f t="shared" ref="H152:H164" si="7">D152-G152</f>
        <v>0</v>
      </c>
      <c r="I152" s="1195"/>
      <c r="J152" s="1659"/>
      <c r="K152" s="1660"/>
      <c r="L152" s="1196"/>
      <c r="M152" s="1197">
        <f t="shared" si="6"/>
        <v>0</v>
      </c>
      <c r="N152" s="221"/>
      <c r="O152" s="221"/>
      <c r="P152" s="221"/>
      <c r="Q152" s="221"/>
      <c r="R152" s="221"/>
      <c r="S152" s="221"/>
      <c r="T152" s="221"/>
      <c r="U152" s="221"/>
      <c r="V152" s="221"/>
      <c r="W152" s="1627">
        <f>W147-W148</f>
        <v>3316366778</v>
      </c>
      <c r="X152" s="1628"/>
      <c r="Y152" s="1628"/>
      <c r="Z152" s="221"/>
      <c r="AA152" s="221"/>
      <c r="AB152" s="221"/>
      <c r="AC152" s="221"/>
      <c r="AD152" s="82"/>
      <c r="AE152" s="83"/>
      <c r="AF152" s="340"/>
      <c r="AG152" s="340"/>
      <c r="AH152" s="83"/>
      <c r="AI152" s="82"/>
    </row>
    <row r="153" spans="1:35" x14ac:dyDescent="0.3">
      <c r="A153" s="66"/>
      <c r="B153" s="1711" t="s">
        <v>1589</v>
      </c>
      <c r="C153" s="1712"/>
      <c r="D153" s="1586"/>
      <c r="E153" s="1587"/>
      <c r="F153" s="1588"/>
      <c r="G153" s="1193"/>
      <c r="H153" s="1194">
        <f t="shared" si="7"/>
        <v>0</v>
      </c>
      <c r="I153" s="1195"/>
      <c r="J153" s="1659"/>
      <c r="K153" s="1660"/>
      <c r="L153" s="1196"/>
      <c r="M153" s="1197">
        <f t="shared" si="6"/>
        <v>0</v>
      </c>
      <c r="N153" s="221"/>
      <c r="O153" s="221"/>
      <c r="P153" s="221"/>
      <c r="Q153" s="221"/>
      <c r="R153" s="221"/>
      <c r="S153" s="221"/>
      <c r="T153" s="221"/>
      <c r="U153" s="221"/>
      <c r="V153" s="221"/>
      <c r="W153" s="221"/>
      <c r="X153" s="221"/>
      <c r="Y153" s="221"/>
      <c r="Z153" s="221"/>
      <c r="AA153" s="221"/>
      <c r="AB153" s="221"/>
      <c r="AC153" s="221"/>
      <c r="AD153" s="82"/>
      <c r="AE153" s="83"/>
      <c r="AF153" s="340"/>
      <c r="AG153" s="340"/>
      <c r="AH153" s="83"/>
      <c r="AI153" s="82"/>
    </row>
    <row r="154" spans="1:35" x14ac:dyDescent="0.3">
      <c r="A154" s="66"/>
      <c r="B154" s="1711" t="s">
        <v>1590</v>
      </c>
      <c r="C154" s="1712"/>
      <c r="D154" s="1586"/>
      <c r="E154" s="1587"/>
      <c r="F154" s="1588"/>
      <c r="G154" s="1193"/>
      <c r="H154" s="1194">
        <f t="shared" si="7"/>
        <v>0</v>
      </c>
      <c r="I154" s="1195"/>
      <c r="J154" s="1659"/>
      <c r="K154" s="1660"/>
      <c r="L154" s="1196"/>
      <c r="M154" s="1197">
        <f t="shared" si="6"/>
        <v>0</v>
      </c>
      <c r="N154" s="221"/>
      <c r="O154" s="221"/>
      <c r="P154" s="221"/>
      <c r="Q154" s="221"/>
      <c r="R154" s="221"/>
      <c r="S154" s="221"/>
      <c r="T154" s="221"/>
      <c r="U154" s="221"/>
      <c r="V154" s="221"/>
      <c r="W154" s="221"/>
      <c r="X154" s="221"/>
      <c r="Y154" s="221"/>
      <c r="Z154" s="221"/>
      <c r="AA154" s="221"/>
      <c r="AB154" s="221"/>
      <c r="AC154" s="221"/>
      <c r="AD154" s="82"/>
      <c r="AE154" s="83"/>
      <c r="AF154" s="340"/>
      <c r="AG154" s="340"/>
      <c r="AH154" s="83"/>
      <c r="AI154" s="82"/>
    </row>
    <row r="155" spans="1:35" x14ac:dyDescent="0.3">
      <c r="A155" s="66"/>
      <c r="B155" s="1711" t="s">
        <v>1591</v>
      </c>
      <c r="C155" s="1712"/>
      <c r="D155" s="1586"/>
      <c r="E155" s="1587"/>
      <c r="F155" s="1588"/>
      <c r="G155" s="1193"/>
      <c r="H155" s="1194">
        <f t="shared" si="7"/>
        <v>0</v>
      </c>
      <c r="I155" s="1195"/>
      <c r="J155" s="1659"/>
      <c r="K155" s="1660"/>
      <c r="L155" s="1196"/>
      <c r="M155" s="1197">
        <f t="shared" si="6"/>
        <v>0</v>
      </c>
      <c r="N155" s="221"/>
      <c r="O155" s="221"/>
      <c r="P155" s="221"/>
      <c r="Q155" s="221"/>
      <c r="R155" s="221"/>
      <c r="S155" s="221"/>
      <c r="T155" s="221"/>
      <c r="U155" s="221"/>
      <c r="V155" s="221"/>
      <c r="W155" s="221"/>
      <c r="X155" s="221"/>
      <c r="Y155" s="221"/>
      <c r="Z155" s="221"/>
      <c r="AA155" s="221"/>
      <c r="AB155" s="221"/>
      <c r="AC155" s="221"/>
      <c r="AD155" s="82"/>
      <c r="AE155" s="83"/>
      <c r="AF155" s="340"/>
      <c r="AG155" s="340"/>
      <c r="AH155" s="83"/>
      <c r="AI155" s="82"/>
    </row>
    <row r="156" spans="1:35" x14ac:dyDescent="0.3">
      <c r="A156" s="66"/>
      <c r="B156" s="1711" t="s">
        <v>1592</v>
      </c>
      <c r="C156" s="1712"/>
      <c r="D156" s="1586"/>
      <c r="E156" s="1587"/>
      <c r="F156" s="1588"/>
      <c r="G156" s="1193"/>
      <c r="H156" s="1194">
        <f t="shared" si="7"/>
        <v>0</v>
      </c>
      <c r="I156" s="1195"/>
      <c r="J156" s="1659"/>
      <c r="K156" s="1660"/>
      <c r="L156" s="1196"/>
      <c r="M156" s="1197">
        <f t="shared" si="6"/>
        <v>0</v>
      </c>
      <c r="N156" s="221"/>
      <c r="O156" s="221"/>
      <c r="P156" s="221"/>
      <c r="Q156" s="221"/>
      <c r="R156" s="221"/>
      <c r="S156" s="221"/>
      <c r="T156" s="221"/>
      <c r="U156" s="221"/>
      <c r="V156" s="221"/>
      <c r="W156" s="221"/>
      <c r="X156" s="221"/>
      <c r="Y156" s="221"/>
      <c r="Z156" s="221"/>
      <c r="AA156" s="221"/>
      <c r="AB156" s="221"/>
      <c r="AC156" s="221"/>
      <c r="AD156" s="82"/>
      <c r="AE156" s="83"/>
      <c r="AF156" s="340"/>
      <c r="AG156" s="340"/>
      <c r="AH156" s="83"/>
      <c r="AI156" s="82"/>
    </row>
    <row r="157" spans="1:35" x14ac:dyDescent="0.3">
      <c r="A157" s="66"/>
      <c r="B157" s="1711" t="s">
        <v>929</v>
      </c>
      <c r="C157" s="1712"/>
      <c r="D157" s="1586"/>
      <c r="E157" s="1587"/>
      <c r="F157" s="1588"/>
      <c r="G157" s="1193"/>
      <c r="H157" s="1194">
        <f t="shared" si="7"/>
        <v>0</v>
      </c>
      <c r="I157" s="1195"/>
      <c r="J157" s="1659"/>
      <c r="K157" s="1660"/>
      <c r="L157" s="1196"/>
      <c r="M157" s="1197">
        <f t="shared" si="6"/>
        <v>0</v>
      </c>
      <c r="N157" s="221"/>
      <c r="O157" s="221"/>
      <c r="P157" s="221"/>
      <c r="Q157" s="221"/>
      <c r="R157" s="221"/>
      <c r="S157" s="221"/>
      <c r="T157" s="221"/>
      <c r="U157" s="221"/>
      <c r="V157" s="221"/>
      <c r="W157" s="221"/>
      <c r="X157" s="221"/>
      <c r="Y157" s="221"/>
      <c r="Z157" s="221"/>
      <c r="AA157" s="221"/>
      <c r="AB157" s="221"/>
      <c r="AC157" s="221"/>
      <c r="AD157" s="82"/>
      <c r="AE157" s="83"/>
      <c r="AF157" s="340"/>
      <c r="AG157" s="340"/>
      <c r="AH157" s="83"/>
      <c r="AI157" s="82"/>
    </row>
    <row r="158" spans="1:35" x14ac:dyDescent="0.3">
      <c r="A158" s="66"/>
      <c r="B158" s="1711" t="s">
        <v>1593</v>
      </c>
      <c r="C158" s="1712"/>
      <c r="D158" s="1586"/>
      <c r="E158" s="1587"/>
      <c r="F158" s="1588"/>
      <c r="G158" s="1193"/>
      <c r="H158" s="1194">
        <f t="shared" si="7"/>
        <v>0</v>
      </c>
      <c r="I158" s="1195"/>
      <c r="J158" s="1659"/>
      <c r="K158" s="1660"/>
      <c r="L158" s="1196"/>
      <c r="M158" s="1197">
        <f t="shared" si="6"/>
        <v>0</v>
      </c>
      <c r="N158" s="221"/>
      <c r="O158" s="221"/>
      <c r="P158" s="221"/>
      <c r="Q158" s="221"/>
      <c r="R158" s="221"/>
      <c r="S158" s="221"/>
      <c r="T158" s="221"/>
      <c r="U158" s="221"/>
      <c r="V158" s="221"/>
      <c r="W158" s="221"/>
      <c r="X158" s="221"/>
      <c r="Y158" s="221"/>
      <c r="Z158" s="221"/>
      <c r="AA158" s="221"/>
      <c r="AB158" s="221"/>
      <c r="AC158" s="221"/>
      <c r="AD158" s="82"/>
      <c r="AE158" s="83"/>
      <c r="AF158" s="340"/>
      <c r="AG158" s="340"/>
      <c r="AH158" s="83"/>
      <c r="AI158" s="82"/>
    </row>
    <row r="159" spans="1:35" x14ac:dyDescent="0.3">
      <c r="A159" s="66"/>
      <c r="B159" s="1711" t="s">
        <v>1594</v>
      </c>
      <c r="C159" s="1712"/>
      <c r="D159" s="1586"/>
      <c r="E159" s="1587"/>
      <c r="F159" s="1588"/>
      <c r="G159" s="1193"/>
      <c r="H159" s="1194">
        <f t="shared" si="7"/>
        <v>0</v>
      </c>
      <c r="I159" s="1195"/>
      <c r="J159" s="1659"/>
      <c r="K159" s="1660"/>
      <c r="L159" s="1196"/>
      <c r="M159" s="1197">
        <f t="shared" si="6"/>
        <v>0</v>
      </c>
      <c r="N159" s="221"/>
      <c r="O159" s="221"/>
      <c r="P159" s="221"/>
      <c r="Q159" s="221"/>
      <c r="R159" s="221"/>
      <c r="S159" s="221"/>
      <c r="T159" s="221"/>
      <c r="U159" s="221"/>
      <c r="V159" s="221"/>
      <c r="W159" s="221"/>
      <c r="X159" s="221"/>
      <c r="Y159" s="221"/>
      <c r="Z159" s="221"/>
      <c r="AA159" s="221"/>
      <c r="AB159" s="221"/>
      <c r="AC159" s="221"/>
      <c r="AD159" s="82"/>
      <c r="AE159" s="83"/>
      <c r="AF159" s="340"/>
      <c r="AG159" s="340"/>
      <c r="AH159" s="83"/>
      <c r="AI159" s="82"/>
    </row>
    <row r="160" spans="1:35" x14ac:dyDescent="0.3">
      <c r="A160" s="66"/>
      <c r="B160" s="1711" t="s">
        <v>1595</v>
      </c>
      <c r="C160" s="1712"/>
      <c r="D160" s="1586"/>
      <c r="E160" s="1587"/>
      <c r="F160" s="1588"/>
      <c r="G160" s="1193"/>
      <c r="H160" s="1194">
        <f t="shared" si="7"/>
        <v>0</v>
      </c>
      <c r="I160" s="1195"/>
      <c r="J160" s="1659"/>
      <c r="K160" s="1660"/>
      <c r="L160" s="1196"/>
      <c r="M160" s="1197">
        <f t="shared" si="6"/>
        <v>0</v>
      </c>
      <c r="N160" s="221"/>
      <c r="O160" s="221"/>
      <c r="P160" s="221"/>
      <c r="Q160" s="221"/>
      <c r="R160" s="221"/>
      <c r="S160" s="221"/>
      <c r="T160" s="221"/>
      <c r="U160" s="221"/>
      <c r="V160" s="221"/>
      <c r="W160" s="221"/>
      <c r="X160" s="221"/>
      <c r="Y160" s="221"/>
      <c r="Z160" s="221"/>
      <c r="AA160" s="221"/>
      <c r="AB160" s="221"/>
      <c r="AC160" s="221"/>
      <c r="AD160" s="82"/>
      <c r="AE160" s="83"/>
      <c r="AF160" s="340"/>
      <c r="AG160" s="340"/>
      <c r="AH160" s="83"/>
      <c r="AI160" s="82"/>
    </row>
    <row r="161" spans="1:35" x14ac:dyDescent="0.3">
      <c r="A161" s="66"/>
      <c r="B161" s="1711" t="s">
        <v>1596</v>
      </c>
      <c r="C161" s="1712"/>
      <c r="D161" s="1586"/>
      <c r="E161" s="1587"/>
      <c r="F161" s="1588"/>
      <c r="G161" s="1193"/>
      <c r="H161" s="1194">
        <f t="shared" si="7"/>
        <v>0</v>
      </c>
      <c r="I161" s="1195"/>
      <c r="J161" s="1659"/>
      <c r="K161" s="1660"/>
      <c r="L161" s="1196"/>
      <c r="M161" s="1197">
        <f t="shared" si="6"/>
        <v>0</v>
      </c>
      <c r="N161" s="221"/>
      <c r="O161" s="221"/>
      <c r="P161" s="221"/>
      <c r="Q161" s="221"/>
      <c r="R161" s="221"/>
      <c r="S161" s="221"/>
      <c r="T161" s="221"/>
      <c r="U161" s="221"/>
      <c r="V161" s="221"/>
      <c r="W161" s="221"/>
      <c r="X161" s="221"/>
      <c r="Y161" s="221"/>
      <c r="Z161" s="221"/>
      <c r="AA161" s="221"/>
      <c r="AB161" s="221"/>
      <c r="AC161" s="221"/>
      <c r="AD161" s="82"/>
      <c r="AE161" s="83"/>
      <c r="AF161" s="340"/>
      <c r="AG161" s="340"/>
      <c r="AH161" s="83"/>
      <c r="AI161" s="82"/>
    </row>
    <row r="162" spans="1:35" x14ac:dyDescent="0.3">
      <c r="A162" s="66"/>
      <c r="B162" s="1711" t="s">
        <v>1597</v>
      </c>
      <c r="C162" s="1712"/>
      <c r="D162" s="1586"/>
      <c r="E162" s="1587"/>
      <c r="F162" s="1588"/>
      <c r="G162" s="1193"/>
      <c r="H162" s="1194">
        <f t="shared" si="7"/>
        <v>0</v>
      </c>
      <c r="I162" s="1195"/>
      <c r="J162" s="1659"/>
      <c r="K162" s="1660"/>
      <c r="L162" s="1196"/>
      <c r="M162" s="1197">
        <f t="shared" si="6"/>
        <v>0</v>
      </c>
      <c r="N162" s="221"/>
      <c r="O162" s="221"/>
      <c r="P162" s="221"/>
      <c r="Q162" s="221"/>
      <c r="R162" s="221"/>
      <c r="S162" s="221"/>
      <c r="T162" s="221"/>
      <c r="U162" s="221"/>
      <c r="V162" s="221"/>
      <c r="W162" s="221"/>
      <c r="X162" s="221"/>
      <c r="Y162" s="221"/>
      <c r="Z162" s="221"/>
      <c r="AA162" s="221"/>
      <c r="AB162" s="221"/>
      <c r="AC162" s="221"/>
      <c r="AD162" s="82"/>
      <c r="AE162" s="83"/>
      <c r="AF162" s="340"/>
      <c r="AG162" s="340"/>
      <c r="AH162" s="83"/>
      <c r="AI162" s="82"/>
    </row>
    <row r="163" spans="1:35" x14ac:dyDescent="0.3">
      <c r="A163" s="66"/>
      <c r="B163" s="1711" t="s">
        <v>1598</v>
      </c>
      <c r="C163" s="1712"/>
      <c r="D163" s="1586"/>
      <c r="E163" s="1587"/>
      <c r="F163" s="1588"/>
      <c r="G163" s="1193"/>
      <c r="H163" s="1194">
        <f t="shared" si="7"/>
        <v>0</v>
      </c>
      <c r="I163" s="1195"/>
      <c r="J163" s="1659"/>
      <c r="K163" s="1660"/>
      <c r="L163" s="1196"/>
      <c r="M163" s="1197">
        <f t="shared" si="6"/>
        <v>0</v>
      </c>
      <c r="N163" s="221"/>
      <c r="O163" s="221"/>
      <c r="P163" s="221"/>
      <c r="Q163" s="221"/>
      <c r="R163" s="221"/>
      <c r="S163" s="221"/>
      <c r="T163" s="221"/>
      <c r="U163" s="221"/>
      <c r="V163" s="221"/>
      <c r="W163" s="221"/>
      <c r="X163" s="221"/>
      <c r="Y163" s="221"/>
      <c r="Z163" s="221"/>
      <c r="AA163" s="221"/>
      <c r="AB163" s="221"/>
      <c r="AC163" s="221"/>
      <c r="AD163" s="82"/>
      <c r="AE163" s="83"/>
      <c r="AF163" s="2101">
        <v>511233</v>
      </c>
      <c r="AG163" s="2101"/>
      <c r="AH163" s="83"/>
      <c r="AI163" s="82"/>
    </row>
    <row r="164" spans="1:35" x14ac:dyDescent="0.3">
      <c r="A164" s="66"/>
      <c r="B164" s="2079" t="s">
        <v>1599</v>
      </c>
      <c r="C164" s="2080"/>
      <c r="D164" s="1586"/>
      <c r="E164" s="1587"/>
      <c r="F164" s="1588"/>
      <c r="G164" s="1193"/>
      <c r="H164" s="1194">
        <f t="shared" si="7"/>
        <v>0</v>
      </c>
      <c r="I164" s="1195"/>
      <c r="J164" s="1659"/>
      <c r="K164" s="1660"/>
      <c r="L164" s="1196"/>
      <c r="M164" s="1197">
        <f t="shared" si="6"/>
        <v>0</v>
      </c>
      <c r="N164" s="221"/>
      <c r="O164" s="221"/>
      <c r="P164" s="221"/>
      <c r="Q164" s="221"/>
      <c r="R164" s="221"/>
      <c r="S164" s="221"/>
      <c r="T164" s="221"/>
      <c r="U164" s="221"/>
      <c r="V164" s="221"/>
      <c r="W164" s="221"/>
      <c r="X164" s="221"/>
      <c r="Y164" s="221"/>
      <c r="Z164" s="221"/>
      <c r="AA164" s="221"/>
      <c r="AB164" s="221"/>
      <c r="AC164" s="221"/>
      <c r="AD164" s="82"/>
      <c r="AE164" s="83"/>
      <c r="AF164" s="2101">
        <v>511234</v>
      </c>
      <c r="AG164" s="2101"/>
      <c r="AH164" s="83"/>
      <c r="AI164" s="82"/>
    </row>
    <row r="165" spans="1:35" ht="16" thickBot="1" x14ac:dyDescent="0.35">
      <c r="A165" s="66"/>
      <c r="B165" s="1183" t="s">
        <v>116</v>
      </c>
      <c r="C165" s="1184"/>
      <c r="D165" s="2072">
        <f>SUM(D139:F164)</f>
        <v>0</v>
      </c>
      <c r="E165" s="2073"/>
      <c r="F165" s="2074"/>
      <c r="G165" s="1201">
        <f>SUM(G139:G164)</f>
        <v>0</v>
      </c>
      <c r="H165" s="1186">
        <f>SUM(H139:H164)</f>
        <v>0</v>
      </c>
      <c r="I165" s="1187"/>
      <c r="J165" s="1666">
        <f>SUM(J139:K164)</f>
        <v>0</v>
      </c>
      <c r="K165" s="1667"/>
      <c r="L165" s="1188">
        <f>SUM(L139:L164)</f>
        <v>0</v>
      </c>
      <c r="M165" s="1188">
        <f>SUM(M139:M164)</f>
        <v>0</v>
      </c>
      <c r="N165" s="221"/>
      <c r="O165" s="221"/>
      <c r="P165" s="221"/>
      <c r="Q165" s="221"/>
      <c r="R165" s="221"/>
      <c r="S165" s="221"/>
      <c r="T165" s="221"/>
      <c r="U165" s="221"/>
      <c r="V165" s="221"/>
      <c r="W165" s="221"/>
      <c r="X165" s="221"/>
      <c r="Y165" s="221"/>
      <c r="Z165" s="221"/>
      <c r="AA165" s="221"/>
      <c r="AB165" s="221"/>
      <c r="AC165" s="221"/>
      <c r="AD165" s="82"/>
      <c r="AE165" s="83"/>
      <c r="AG165" s="70"/>
      <c r="AH165" s="83"/>
      <c r="AI165" s="82"/>
    </row>
    <row r="166" spans="1:35" ht="16.5" thickTop="1" thickBot="1" x14ac:dyDescent="0.4">
      <c r="A166" s="66"/>
      <c r="B166" s="1722" t="str">
        <f>B69</f>
        <v>31 Desember 2019</v>
      </c>
      <c r="C166" s="1722"/>
      <c r="D166" s="1722"/>
      <c r="E166" s="1722"/>
      <c r="F166" s="1722"/>
      <c r="G166" s="1722"/>
      <c r="H166" s="1722"/>
      <c r="I166" s="230"/>
      <c r="J166" s="1722" t="str">
        <f>J69</f>
        <v>31 Desember 2018</v>
      </c>
      <c r="K166" s="1722"/>
      <c r="L166" s="1722"/>
      <c r="M166" s="1722"/>
      <c r="N166" s="220"/>
      <c r="O166" s="220"/>
      <c r="P166" s="220"/>
      <c r="Q166" s="220"/>
      <c r="R166" s="220"/>
      <c r="S166" s="220"/>
      <c r="T166" s="220"/>
      <c r="U166" s="220"/>
      <c r="V166" s="220"/>
      <c r="W166" s="220"/>
      <c r="X166" s="221"/>
      <c r="Y166" s="221"/>
      <c r="Z166" s="221"/>
      <c r="AA166" s="221"/>
      <c r="AB166" s="221"/>
      <c r="AC166" s="221"/>
      <c r="AD166" s="82"/>
      <c r="AE166" s="83"/>
      <c r="AG166" s="70"/>
      <c r="AH166" s="83"/>
      <c r="AI166" s="82"/>
    </row>
    <row r="167" spans="1:35" ht="23.25" customHeight="1" thickTop="1" x14ac:dyDescent="0.3">
      <c r="A167" s="66"/>
      <c r="B167" s="1668" t="s">
        <v>231</v>
      </c>
      <c r="C167" s="1669"/>
      <c r="D167" s="1669"/>
      <c r="E167" s="1669"/>
      <c r="F167" s="1669"/>
      <c r="G167" s="1669"/>
      <c r="H167" s="1669"/>
      <c r="I167" s="1669"/>
      <c r="J167" s="1669"/>
      <c r="K167" s="1669"/>
      <c r="L167" s="1669"/>
      <c r="M167" s="1670"/>
      <c r="N167" s="221"/>
      <c r="O167" s="221"/>
      <c r="P167" s="221"/>
      <c r="Q167" s="221"/>
      <c r="R167" s="221"/>
      <c r="S167" s="221"/>
      <c r="T167" s="221"/>
      <c r="U167" s="221"/>
      <c r="V167" s="221"/>
      <c r="W167" s="221"/>
      <c r="X167" s="221"/>
      <c r="Y167" s="221"/>
      <c r="Z167" s="221"/>
      <c r="AA167" s="221"/>
      <c r="AB167" s="221"/>
      <c r="AC167" s="221"/>
      <c r="AD167" s="82"/>
      <c r="AE167" s="83"/>
      <c r="AG167" s="70"/>
      <c r="AH167" s="83"/>
      <c r="AI167" s="82"/>
    </row>
    <row r="168" spans="1:35" ht="15.5" x14ac:dyDescent="0.3">
      <c r="A168" s="66"/>
      <c r="B168" s="1710"/>
      <c r="C168" s="1601"/>
      <c r="D168" s="1584" t="s">
        <v>46</v>
      </c>
      <c r="E168" s="1713"/>
      <c r="F168" s="1585"/>
      <c r="G168" s="1189" t="s">
        <v>175</v>
      </c>
      <c r="H168" s="1190" t="s">
        <v>183</v>
      </c>
      <c r="I168" s="1191"/>
      <c r="J168" s="1584" t="s">
        <v>46</v>
      </c>
      <c r="K168" s="1585"/>
      <c r="L168" s="1189" t="s">
        <v>175</v>
      </c>
      <c r="M168" s="1192" t="s">
        <v>183</v>
      </c>
      <c r="N168" s="221"/>
      <c r="O168" s="221"/>
      <c r="P168" s="221"/>
      <c r="Q168" s="221"/>
      <c r="R168" s="221"/>
      <c r="S168" s="221"/>
      <c r="T168" s="221"/>
      <c r="U168" s="221"/>
      <c r="V168" s="221"/>
      <c r="W168" s="221"/>
      <c r="X168" s="221"/>
      <c r="Y168" s="221"/>
      <c r="Z168" s="221"/>
      <c r="AA168" s="221"/>
      <c r="AB168" s="221"/>
      <c r="AC168" s="221"/>
      <c r="AD168" s="82"/>
      <c r="AE168" s="83"/>
      <c r="AG168" s="70"/>
      <c r="AH168" s="83"/>
      <c r="AI168" s="82"/>
    </row>
    <row r="169" spans="1:35" x14ac:dyDescent="0.3">
      <c r="A169" s="66"/>
      <c r="B169" s="1711" t="s">
        <v>1600</v>
      </c>
      <c r="C169" s="1712"/>
      <c r="D169" s="1586"/>
      <c r="E169" s="1587"/>
      <c r="F169" s="1588"/>
      <c r="G169" s="1202"/>
      <c r="H169" s="1194">
        <f>D169-G169</f>
        <v>0</v>
      </c>
      <c r="I169" s="1195"/>
      <c r="J169" s="1659"/>
      <c r="K169" s="1660"/>
      <c r="L169" s="1196"/>
      <c r="M169" s="1197">
        <f>J169-L169</f>
        <v>0</v>
      </c>
      <c r="N169" s="221"/>
      <c r="O169" s="221"/>
      <c r="P169" s="221"/>
      <c r="Q169" s="221"/>
      <c r="R169" s="221"/>
      <c r="S169" s="221"/>
      <c r="T169" s="221"/>
      <c r="U169" s="221"/>
      <c r="V169" s="221"/>
      <c r="W169" s="221"/>
      <c r="X169" s="221"/>
      <c r="Y169" s="221"/>
      <c r="Z169" s="221"/>
      <c r="AA169" s="221"/>
      <c r="AB169" s="221"/>
      <c r="AC169" s="221"/>
      <c r="AD169" s="82"/>
      <c r="AE169" s="83"/>
      <c r="AF169" s="2101">
        <v>511311</v>
      </c>
      <c r="AG169" s="2101"/>
      <c r="AH169" s="83"/>
      <c r="AI169" s="82"/>
    </row>
    <row r="170" spans="1:35" x14ac:dyDescent="0.3">
      <c r="A170" s="66"/>
      <c r="B170" s="1711" t="s">
        <v>1601</v>
      </c>
      <c r="C170" s="1712"/>
      <c r="D170" s="1586"/>
      <c r="E170" s="1587"/>
      <c r="F170" s="1588"/>
      <c r="G170" s="1202"/>
      <c r="H170" s="1194">
        <f t="shared" ref="H170:H184" si="8">D170-G170</f>
        <v>0</v>
      </c>
      <c r="I170" s="1195"/>
      <c r="J170" s="1659"/>
      <c r="K170" s="1660"/>
      <c r="L170" s="1196"/>
      <c r="M170" s="1197">
        <f t="shared" ref="M170:M184" si="9">J170-L170</f>
        <v>0</v>
      </c>
      <c r="N170" s="221"/>
      <c r="O170" s="221"/>
      <c r="P170" s="221"/>
      <c r="Q170" s="221"/>
      <c r="R170" s="221"/>
      <c r="S170" s="221"/>
      <c r="T170" s="221"/>
      <c r="U170" s="221"/>
      <c r="V170" s="221"/>
      <c r="W170" s="221"/>
      <c r="X170" s="221"/>
      <c r="Y170" s="221"/>
      <c r="Z170" s="221"/>
      <c r="AA170" s="221"/>
      <c r="AB170" s="221"/>
      <c r="AC170" s="221"/>
      <c r="AD170" s="82"/>
      <c r="AE170" s="83"/>
      <c r="AF170" s="340"/>
      <c r="AG170" s="340"/>
      <c r="AH170" s="83"/>
      <c r="AI170" s="82"/>
    </row>
    <row r="171" spans="1:35" x14ac:dyDescent="0.3">
      <c r="A171" s="66"/>
      <c r="B171" s="1711" t="s">
        <v>1602</v>
      </c>
      <c r="C171" s="1712"/>
      <c r="D171" s="1586"/>
      <c r="E171" s="1587"/>
      <c r="F171" s="1588"/>
      <c r="G171" s="1202"/>
      <c r="H171" s="1194">
        <f t="shared" si="8"/>
        <v>0</v>
      </c>
      <c r="I171" s="1195"/>
      <c r="J171" s="1659"/>
      <c r="K171" s="1660"/>
      <c r="L171" s="1196"/>
      <c r="M171" s="1197">
        <f t="shared" si="9"/>
        <v>0</v>
      </c>
      <c r="N171" s="221"/>
      <c r="O171" s="221"/>
      <c r="P171" s="221"/>
      <c r="Q171" s="221"/>
      <c r="R171" s="221"/>
      <c r="S171" s="221"/>
      <c r="T171" s="221"/>
      <c r="U171" s="221"/>
      <c r="V171" s="221"/>
      <c r="W171" s="221"/>
      <c r="X171" s="221"/>
      <c r="Y171" s="221"/>
      <c r="Z171" s="221"/>
      <c r="AA171" s="221"/>
      <c r="AB171" s="221"/>
      <c r="AC171" s="221"/>
      <c r="AD171" s="82"/>
      <c r="AE171" s="83"/>
      <c r="AF171" s="340"/>
      <c r="AG171" s="340"/>
      <c r="AH171" s="83"/>
      <c r="AI171" s="82"/>
    </row>
    <row r="172" spans="1:35" x14ac:dyDescent="0.3">
      <c r="A172" s="66"/>
      <c r="B172" s="1711" t="s">
        <v>1603</v>
      </c>
      <c r="C172" s="1712"/>
      <c r="D172" s="1586"/>
      <c r="E172" s="1587"/>
      <c r="F172" s="1588"/>
      <c r="G172" s="1202"/>
      <c r="H172" s="1194">
        <f t="shared" si="8"/>
        <v>0</v>
      </c>
      <c r="I172" s="1195"/>
      <c r="J172" s="1659"/>
      <c r="K172" s="1660"/>
      <c r="L172" s="1196"/>
      <c r="M172" s="1197">
        <f t="shared" si="9"/>
        <v>0</v>
      </c>
      <c r="N172" s="221"/>
      <c r="O172" s="221"/>
      <c r="P172" s="221"/>
      <c r="Q172" s="221"/>
      <c r="R172" s="221"/>
      <c r="S172" s="221"/>
      <c r="T172" s="221"/>
      <c r="U172" s="221"/>
      <c r="V172" s="221"/>
      <c r="W172" s="221"/>
      <c r="X172" s="221"/>
      <c r="Y172" s="221"/>
      <c r="Z172" s="221"/>
      <c r="AA172" s="221"/>
      <c r="AB172" s="221"/>
      <c r="AC172" s="221"/>
      <c r="AD172" s="82"/>
      <c r="AE172" s="83"/>
      <c r="AF172" s="340"/>
      <c r="AG172" s="340"/>
      <c r="AH172" s="83"/>
      <c r="AI172" s="82"/>
    </row>
    <row r="173" spans="1:35" x14ac:dyDescent="0.3">
      <c r="A173" s="66"/>
      <c r="B173" s="1711" t="s">
        <v>1604</v>
      </c>
      <c r="C173" s="1712"/>
      <c r="D173" s="1586"/>
      <c r="E173" s="1587"/>
      <c r="F173" s="1588"/>
      <c r="G173" s="1202"/>
      <c r="H173" s="1194">
        <f t="shared" si="8"/>
        <v>0</v>
      </c>
      <c r="I173" s="1195"/>
      <c r="J173" s="1659"/>
      <c r="K173" s="1660"/>
      <c r="L173" s="1196"/>
      <c r="M173" s="1197">
        <f t="shared" si="9"/>
        <v>0</v>
      </c>
      <c r="N173" s="221"/>
      <c r="O173" s="221"/>
      <c r="P173" s="221"/>
      <c r="Q173" s="221"/>
      <c r="R173" s="221"/>
      <c r="S173" s="221"/>
      <c r="T173" s="221"/>
      <c r="U173" s="221"/>
      <c r="V173" s="221"/>
      <c r="W173" s="221"/>
      <c r="X173" s="221"/>
      <c r="Y173" s="221"/>
      <c r="Z173" s="221"/>
      <c r="AA173" s="221"/>
      <c r="AB173" s="221"/>
      <c r="AC173" s="221"/>
      <c r="AD173" s="82"/>
      <c r="AE173" s="83"/>
      <c r="AF173" s="340"/>
      <c r="AG173" s="340"/>
      <c r="AH173" s="83"/>
      <c r="AI173" s="82"/>
    </row>
    <row r="174" spans="1:35" x14ac:dyDescent="0.3">
      <c r="A174" s="66"/>
      <c r="B174" s="1711" t="s">
        <v>1605</v>
      </c>
      <c r="C174" s="1712"/>
      <c r="D174" s="1586"/>
      <c r="E174" s="1587"/>
      <c r="F174" s="1588"/>
      <c r="G174" s="1202"/>
      <c r="H174" s="1194">
        <f t="shared" si="8"/>
        <v>0</v>
      </c>
      <c r="I174" s="1195"/>
      <c r="J174" s="1659"/>
      <c r="K174" s="1660"/>
      <c r="L174" s="1196"/>
      <c r="M174" s="1197">
        <f t="shared" si="9"/>
        <v>0</v>
      </c>
      <c r="N174" s="221"/>
      <c r="O174" s="221"/>
      <c r="P174" s="221"/>
      <c r="Q174" s="221"/>
      <c r="R174" s="221"/>
      <c r="S174" s="221"/>
      <c r="T174" s="221"/>
      <c r="U174" s="221"/>
      <c r="V174" s="221"/>
      <c r="W174" s="221"/>
      <c r="X174" s="221"/>
      <c r="Y174" s="221"/>
      <c r="Z174" s="221"/>
      <c r="AA174" s="221"/>
      <c r="AB174" s="221"/>
      <c r="AC174" s="221"/>
      <c r="AD174" s="82"/>
      <c r="AE174" s="83"/>
      <c r="AF174" s="340"/>
      <c r="AG174" s="340"/>
      <c r="AH174" s="83"/>
      <c r="AI174" s="82"/>
    </row>
    <row r="175" spans="1:35" x14ac:dyDescent="0.3">
      <c r="A175" s="66"/>
      <c r="B175" s="1711" t="s">
        <v>1606</v>
      </c>
      <c r="C175" s="1712"/>
      <c r="D175" s="1586"/>
      <c r="E175" s="1587"/>
      <c r="F175" s="1588"/>
      <c r="G175" s="1202"/>
      <c r="H175" s="1194">
        <f t="shared" si="8"/>
        <v>0</v>
      </c>
      <c r="I175" s="1195"/>
      <c r="J175" s="1659"/>
      <c r="K175" s="1660"/>
      <c r="L175" s="1196"/>
      <c r="M175" s="1197">
        <f t="shared" si="9"/>
        <v>0</v>
      </c>
      <c r="N175" s="221"/>
      <c r="O175" s="221"/>
      <c r="P175" s="221"/>
      <c r="Q175" s="221"/>
      <c r="R175" s="221"/>
      <c r="S175" s="221"/>
      <c r="T175" s="221"/>
      <c r="U175" s="221"/>
      <c r="V175" s="221"/>
      <c r="W175" s="221"/>
      <c r="X175" s="221"/>
      <c r="Y175" s="221"/>
      <c r="Z175" s="221"/>
      <c r="AA175" s="221"/>
      <c r="AB175" s="221"/>
      <c r="AC175" s="221"/>
      <c r="AD175" s="82"/>
      <c r="AE175" s="83"/>
      <c r="AF175" s="340"/>
      <c r="AG175" s="340"/>
      <c r="AH175" s="83"/>
      <c r="AI175" s="82"/>
    </row>
    <row r="176" spans="1:35" x14ac:dyDescent="0.3">
      <c r="A176" s="66"/>
      <c r="B176" s="1711" t="s">
        <v>1607</v>
      </c>
      <c r="C176" s="1712"/>
      <c r="D176" s="1586"/>
      <c r="E176" s="1587"/>
      <c r="F176" s="1588"/>
      <c r="G176" s="1202"/>
      <c r="H176" s="1194">
        <f t="shared" si="8"/>
        <v>0</v>
      </c>
      <c r="I176" s="1195"/>
      <c r="J176" s="1659"/>
      <c r="K176" s="1660"/>
      <c r="L176" s="1196"/>
      <c r="M176" s="1197">
        <f t="shared" si="9"/>
        <v>0</v>
      </c>
      <c r="N176" s="221"/>
      <c r="O176" s="221"/>
      <c r="P176" s="221"/>
      <c r="Q176" s="221"/>
      <c r="R176" s="221"/>
      <c r="S176" s="221"/>
      <c r="T176" s="221"/>
      <c r="U176" s="221"/>
      <c r="V176" s="221"/>
      <c r="W176" s="221"/>
      <c r="X176" s="221"/>
      <c r="Y176" s="221"/>
      <c r="Z176" s="221"/>
      <c r="AA176" s="221"/>
      <c r="AB176" s="221"/>
      <c r="AC176" s="221"/>
      <c r="AD176" s="82"/>
      <c r="AE176" s="83"/>
      <c r="AF176" s="340"/>
      <c r="AG176" s="340"/>
      <c r="AH176" s="83"/>
      <c r="AI176" s="82"/>
    </row>
    <row r="177" spans="1:35" x14ac:dyDescent="0.3">
      <c r="A177" s="66"/>
      <c r="B177" s="1711" t="s">
        <v>219</v>
      </c>
      <c r="C177" s="1712"/>
      <c r="D177" s="1586"/>
      <c r="E177" s="1587"/>
      <c r="F177" s="1588"/>
      <c r="G177" s="1202"/>
      <c r="H177" s="1194">
        <f t="shared" si="8"/>
        <v>0</v>
      </c>
      <c r="I177" s="1195"/>
      <c r="J177" s="1659"/>
      <c r="K177" s="1660"/>
      <c r="L177" s="1196"/>
      <c r="M177" s="1197">
        <f t="shared" si="9"/>
        <v>0</v>
      </c>
      <c r="N177" s="221"/>
      <c r="O177" s="221"/>
      <c r="P177" s="221"/>
      <c r="Q177" s="221"/>
      <c r="R177" s="221"/>
      <c r="S177" s="221"/>
      <c r="T177" s="221"/>
      <c r="U177" s="221"/>
      <c r="V177" s="221"/>
      <c r="W177" s="221"/>
      <c r="X177" s="221"/>
      <c r="Y177" s="221"/>
      <c r="Z177" s="221"/>
      <c r="AA177" s="221"/>
      <c r="AB177" s="221"/>
      <c r="AC177" s="221"/>
      <c r="AD177" s="82"/>
      <c r="AE177" s="83"/>
      <c r="AF177" s="340"/>
      <c r="AG177" s="340"/>
      <c r="AH177" s="83"/>
      <c r="AI177" s="82"/>
    </row>
    <row r="178" spans="1:35" x14ac:dyDescent="0.3">
      <c r="A178" s="66"/>
      <c r="B178" s="1711" t="s">
        <v>1608</v>
      </c>
      <c r="C178" s="1712"/>
      <c r="D178" s="1586"/>
      <c r="E178" s="1587"/>
      <c r="F178" s="1588"/>
      <c r="G178" s="1202"/>
      <c r="H178" s="1194">
        <f t="shared" si="8"/>
        <v>0</v>
      </c>
      <c r="I178" s="1195"/>
      <c r="J178" s="1659"/>
      <c r="K178" s="1660"/>
      <c r="L178" s="1196"/>
      <c r="M178" s="1197">
        <f t="shared" si="9"/>
        <v>0</v>
      </c>
      <c r="N178" s="221"/>
      <c r="O178" s="221"/>
      <c r="P178" s="221"/>
      <c r="Q178" s="221"/>
      <c r="R178" s="221"/>
      <c r="S178" s="221"/>
      <c r="T178" s="221"/>
      <c r="U178" s="221"/>
      <c r="V178" s="221"/>
      <c r="W178" s="221"/>
      <c r="X178" s="221"/>
      <c r="Y178" s="221"/>
      <c r="Z178" s="221"/>
      <c r="AA178" s="221"/>
      <c r="AB178" s="221"/>
      <c r="AC178" s="221"/>
      <c r="AD178" s="82"/>
      <c r="AE178" s="83"/>
      <c r="AF178" s="340"/>
      <c r="AG178" s="340"/>
      <c r="AH178" s="83"/>
      <c r="AI178" s="82"/>
    </row>
    <row r="179" spans="1:35" x14ac:dyDescent="0.3">
      <c r="A179" s="66"/>
      <c r="B179" s="1711" t="s">
        <v>1609</v>
      </c>
      <c r="C179" s="1712"/>
      <c r="D179" s="1586"/>
      <c r="E179" s="1587"/>
      <c r="F179" s="1588"/>
      <c r="G179" s="1202"/>
      <c r="H179" s="1194">
        <f t="shared" si="8"/>
        <v>0</v>
      </c>
      <c r="I179" s="1195"/>
      <c r="J179" s="1659"/>
      <c r="K179" s="1660"/>
      <c r="L179" s="1196"/>
      <c r="M179" s="1197">
        <f t="shared" si="9"/>
        <v>0</v>
      </c>
      <c r="N179" s="221"/>
      <c r="O179" s="221"/>
      <c r="P179" s="221"/>
      <c r="Q179" s="221"/>
      <c r="R179" s="221"/>
      <c r="S179" s="221"/>
      <c r="T179" s="221"/>
      <c r="U179" s="221"/>
      <c r="V179" s="221"/>
      <c r="W179" s="221"/>
      <c r="X179" s="221"/>
      <c r="Y179" s="221"/>
      <c r="Z179" s="221"/>
      <c r="AA179" s="221"/>
      <c r="AB179" s="221"/>
      <c r="AC179" s="221"/>
      <c r="AD179" s="82"/>
      <c r="AE179" s="83"/>
      <c r="AF179" s="340"/>
      <c r="AG179" s="340"/>
      <c r="AH179" s="83"/>
      <c r="AI179" s="82"/>
    </row>
    <row r="180" spans="1:35" x14ac:dyDescent="0.3">
      <c r="A180" s="66"/>
      <c r="B180" s="1711" t="s">
        <v>1610</v>
      </c>
      <c r="C180" s="1712"/>
      <c r="D180" s="1586"/>
      <c r="E180" s="1587"/>
      <c r="F180" s="1588"/>
      <c r="G180" s="1202"/>
      <c r="H180" s="1194">
        <f t="shared" si="8"/>
        <v>0</v>
      </c>
      <c r="I180" s="1195"/>
      <c r="J180" s="1659"/>
      <c r="K180" s="1660"/>
      <c r="L180" s="1196"/>
      <c r="M180" s="1197">
        <f t="shared" si="9"/>
        <v>0</v>
      </c>
      <c r="N180" s="221"/>
      <c r="O180" s="221"/>
      <c r="P180" s="221"/>
      <c r="Q180" s="221"/>
      <c r="R180" s="221"/>
      <c r="S180" s="221"/>
      <c r="T180" s="221"/>
      <c r="U180" s="221"/>
      <c r="V180" s="221"/>
      <c r="W180" s="221"/>
      <c r="X180" s="221"/>
      <c r="Y180" s="221"/>
      <c r="Z180" s="221"/>
      <c r="AA180" s="221"/>
      <c r="AB180" s="221"/>
      <c r="AC180" s="221"/>
      <c r="AD180" s="82"/>
      <c r="AE180" s="83"/>
      <c r="AF180" s="2101">
        <v>511319</v>
      </c>
      <c r="AG180" s="2101"/>
      <c r="AH180" s="83"/>
      <c r="AI180" s="82"/>
    </row>
    <row r="181" spans="1:35" x14ac:dyDescent="0.3">
      <c r="A181" s="66"/>
      <c r="B181" s="1711" t="s">
        <v>1611</v>
      </c>
      <c r="C181" s="1712"/>
      <c r="D181" s="1586"/>
      <c r="E181" s="1587"/>
      <c r="F181" s="1588"/>
      <c r="G181" s="1202"/>
      <c r="H181" s="1194">
        <f t="shared" si="8"/>
        <v>0</v>
      </c>
      <c r="I181" s="1195"/>
      <c r="J181" s="1659"/>
      <c r="K181" s="1660"/>
      <c r="L181" s="1196"/>
      <c r="M181" s="1197">
        <f t="shared" si="9"/>
        <v>0</v>
      </c>
      <c r="N181" s="221"/>
      <c r="O181" s="221"/>
      <c r="P181" s="221"/>
      <c r="Q181" s="221"/>
      <c r="R181" s="221"/>
      <c r="S181" s="221"/>
      <c r="T181" s="221"/>
      <c r="U181" s="221"/>
      <c r="V181" s="221"/>
      <c r="W181" s="221"/>
      <c r="X181" s="221"/>
      <c r="Y181" s="221"/>
      <c r="Z181" s="221"/>
      <c r="AA181" s="221"/>
      <c r="AB181" s="221"/>
      <c r="AC181" s="221"/>
      <c r="AD181" s="82"/>
      <c r="AE181" s="83"/>
      <c r="AF181" s="2101">
        <v>511321</v>
      </c>
      <c r="AG181" s="2101"/>
      <c r="AH181" s="83"/>
      <c r="AI181" s="82"/>
    </row>
    <row r="182" spans="1:35" x14ac:dyDescent="0.3">
      <c r="A182" s="66"/>
      <c r="B182" s="1711" t="s">
        <v>1612</v>
      </c>
      <c r="C182" s="1712"/>
      <c r="D182" s="1586"/>
      <c r="E182" s="1587"/>
      <c r="F182" s="1588"/>
      <c r="G182" s="1202"/>
      <c r="H182" s="1194">
        <f t="shared" si="8"/>
        <v>0</v>
      </c>
      <c r="I182" s="1195"/>
      <c r="J182" s="1659"/>
      <c r="K182" s="1660"/>
      <c r="L182" s="1196"/>
      <c r="M182" s="1197">
        <f t="shared" si="9"/>
        <v>0</v>
      </c>
      <c r="N182" s="221"/>
      <c r="O182" s="221"/>
      <c r="P182" s="221"/>
      <c r="Q182" s="221"/>
      <c r="R182" s="221"/>
      <c r="S182" s="221"/>
      <c r="T182" s="221"/>
      <c r="U182" s="221"/>
      <c r="V182" s="221"/>
      <c r="W182" s="221"/>
      <c r="X182" s="221"/>
      <c r="Y182" s="221"/>
      <c r="Z182" s="221"/>
      <c r="AA182" s="221"/>
      <c r="AB182" s="221"/>
      <c r="AC182" s="221"/>
      <c r="AD182" s="82"/>
      <c r="AE182" s="83"/>
      <c r="AF182" s="2101">
        <v>511332</v>
      </c>
      <c r="AG182" s="2101"/>
      <c r="AH182" s="83"/>
      <c r="AI182" s="82"/>
    </row>
    <row r="183" spans="1:35" ht="15.5" x14ac:dyDescent="0.3">
      <c r="A183" s="66"/>
      <c r="B183" s="1711" t="s">
        <v>1613</v>
      </c>
      <c r="C183" s="1712"/>
      <c r="D183" s="1586"/>
      <c r="E183" s="1587"/>
      <c r="F183" s="1588"/>
      <c r="G183" s="1202"/>
      <c r="H183" s="1194">
        <f t="shared" si="8"/>
        <v>0</v>
      </c>
      <c r="I183" s="1195"/>
      <c r="J183" s="1659"/>
      <c r="K183" s="1660"/>
      <c r="L183" s="1196"/>
      <c r="M183" s="1197">
        <f t="shared" si="9"/>
        <v>0</v>
      </c>
      <c r="N183" s="221"/>
      <c r="O183" s="221"/>
      <c r="P183" s="221"/>
      <c r="Q183" s="221"/>
      <c r="R183" s="221"/>
      <c r="S183" s="221"/>
      <c r="T183" s="221"/>
      <c r="U183" s="221"/>
      <c r="V183" s="221"/>
      <c r="W183" s="221"/>
      <c r="X183" s="221"/>
      <c r="Y183" s="221"/>
      <c r="Z183" s="221"/>
      <c r="AA183" s="221"/>
      <c r="AB183" s="221"/>
      <c r="AC183" s="221"/>
      <c r="AD183" s="82"/>
      <c r="AE183" s="83"/>
      <c r="AG183" s="70"/>
      <c r="AH183" s="83"/>
      <c r="AI183" s="82"/>
    </row>
    <row r="184" spans="1:35" ht="15.5" x14ac:dyDescent="0.3">
      <c r="A184" s="66"/>
      <c r="B184" s="2079" t="s">
        <v>1614</v>
      </c>
      <c r="C184" s="2080"/>
      <c r="D184" s="1586"/>
      <c r="E184" s="1587"/>
      <c r="F184" s="1588"/>
      <c r="G184" s="1202"/>
      <c r="H184" s="1194">
        <f t="shared" si="8"/>
        <v>0</v>
      </c>
      <c r="I184" s="1195"/>
      <c r="J184" s="1659"/>
      <c r="K184" s="1660"/>
      <c r="L184" s="1196"/>
      <c r="M184" s="1197">
        <f t="shared" si="9"/>
        <v>0</v>
      </c>
      <c r="N184" s="221"/>
      <c r="O184" s="221"/>
      <c r="P184" s="221"/>
      <c r="Q184" s="221"/>
      <c r="R184" s="221"/>
      <c r="S184" s="221"/>
      <c r="T184" s="221"/>
      <c r="U184" s="221"/>
      <c r="V184" s="221"/>
      <c r="W184" s="221"/>
      <c r="X184" s="221"/>
      <c r="Y184" s="221"/>
      <c r="Z184" s="221"/>
      <c r="AA184" s="221"/>
      <c r="AB184" s="221"/>
      <c r="AC184" s="221"/>
      <c r="AD184" s="82"/>
      <c r="AE184" s="83"/>
      <c r="AG184" s="70"/>
      <c r="AH184" s="83"/>
      <c r="AI184" s="82"/>
    </row>
    <row r="185" spans="1:35" ht="16" thickBot="1" x14ac:dyDescent="0.35">
      <c r="A185" s="66"/>
      <c r="B185" s="1183" t="s">
        <v>116</v>
      </c>
      <c r="C185" s="1184"/>
      <c r="D185" s="1591">
        <f>SUM(D169:F184)</f>
        <v>0</v>
      </c>
      <c r="E185" s="1592"/>
      <c r="F185" s="1593"/>
      <c r="G185" s="1185">
        <f>SUM(G169:G184)</f>
        <v>0</v>
      </c>
      <c r="H185" s="1186">
        <f>SUM(H169:H184)</f>
        <v>0</v>
      </c>
      <c r="I185" s="1187"/>
      <c r="J185" s="1666">
        <f>SUM(J169:K184)</f>
        <v>0</v>
      </c>
      <c r="K185" s="1667"/>
      <c r="L185" s="1188">
        <f>SUM(L169:L184)</f>
        <v>0</v>
      </c>
      <c r="M185" s="1188">
        <f>SUM(M169:M184)</f>
        <v>0</v>
      </c>
      <c r="N185" s="221"/>
      <c r="O185" s="221"/>
      <c r="P185" s="221"/>
      <c r="Q185" s="221"/>
      <c r="R185" s="221"/>
      <c r="S185" s="221"/>
      <c r="T185" s="221"/>
      <c r="U185" s="221"/>
      <c r="V185" s="221"/>
      <c r="W185" s="221"/>
      <c r="X185" s="221"/>
      <c r="Y185" s="221"/>
      <c r="Z185" s="221"/>
      <c r="AA185" s="221"/>
      <c r="AB185" s="221"/>
      <c r="AC185" s="221"/>
      <c r="AD185" s="82"/>
      <c r="AE185" s="83"/>
      <c r="AG185" s="70"/>
      <c r="AH185" s="83"/>
      <c r="AI185" s="82"/>
    </row>
    <row r="186" spans="1:35" ht="16.5" thickTop="1" thickBot="1" x14ac:dyDescent="0.4">
      <c r="A186" s="66"/>
      <c r="B186" s="1671" t="str">
        <f>$B$69</f>
        <v>31 Desember 2019</v>
      </c>
      <c r="C186" s="1671"/>
      <c r="D186" s="1671"/>
      <c r="E186" s="1671"/>
      <c r="F186" s="1671"/>
      <c r="G186" s="1671"/>
      <c r="H186" s="1671"/>
      <c r="I186" s="230"/>
      <c r="J186" s="1672" t="str">
        <f>$J$69</f>
        <v>31 Desember 2018</v>
      </c>
      <c r="K186" s="1671"/>
      <c r="L186" s="1671"/>
      <c r="M186" s="1671"/>
      <c r="N186" s="221"/>
      <c r="O186" s="221"/>
      <c r="P186" s="221"/>
      <c r="Q186" s="221"/>
      <c r="R186" s="221"/>
      <c r="S186" s="221"/>
      <c r="T186" s="221"/>
      <c r="U186" s="221"/>
      <c r="V186" s="221"/>
      <c r="W186" s="221"/>
      <c r="X186" s="221"/>
      <c r="Y186" s="221"/>
      <c r="Z186" s="221"/>
      <c r="AA186" s="221"/>
      <c r="AB186" s="221"/>
      <c r="AC186" s="221"/>
      <c r="AD186" s="82"/>
      <c r="AE186" s="83"/>
      <c r="AF186" s="341"/>
      <c r="AG186" s="70"/>
      <c r="AH186" s="83"/>
      <c r="AI186" s="82"/>
    </row>
    <row r="187" spans="1:35" ht="20.5" thickTop="1" x14ac:dyDescent="0.3">
      <c r="A187" s="66"/>
      <c r="B187" s="1668" t="s">
        <v>1615</v>
      </c>
      <c r="C187" s="1669"/>
      <c r="D187" s="1669"/>
      <c r="E187" s="1669"/>
      <c r="F187" s="1669"/>
      <c r="G187" s="1669"/>
      <c r="H187" s="1669"/>
      <c r="I187" s="1669"/>
      <c r="J187" s="1669"/>
      <c r="K187" s="1669"/>
      <c r="L187" s="1669"/>
      <c r="M187" s="1670"/>
      <c r="N187" s="221"/>
      <c r="O187" s="221"/>
      <c r="P187" s="221"/>
      <c r="Q187" s="221"/>
      <c r="R187" s="221"/>
      <c r="S187" s="221"/>
      <c r="T187" s="221"/>
      <c r="U187" s="221"/>
      <c r="V187" s="221"/>
      <c r="W187" s="221"/>
      <c r="X187" s="221"/>
      <c r="Y187" s="221"/>
      <c r="Z187" s="221"/>
      <c r="AA187" s="221"/>
      <c r="AB187" s="221"/>
      <c r="AC187" s="221"/>
      <c r="AD187" s="82"/>
      <c r="AE187" s="83"/>
      <c r="AF187" s="341"/>
      <c r="AG187" s="70"/>
      <c r="AH187" s="83"/>
      <c r="AI187" s="82"/>
    </row>
    <row r="188" spans="1:35" ht="15.5" x14ac:dyDescent="0.3">
      <c r="A188" s="66"/>
      <c r="B188" s="1710"/>
      <c r="C188" s="1601"/>
      <c r="D188" s="1584" t="s">
        <v>46</v>
      </c>
      <c r="E188" s="1713"/>
      <c r="F188" s="1585"/>
      <c r="G188" s="1189" t="s">
        <v>175</v>
      </c>
      <c r="H188" s="1190" t="s">
        <v>183</v>
      </c>
      <c r="I188" s="1191"/>
      <c r="J188" s="1584" t="s">
        <v>46</v>
      </c>
      <c r="K188" s="1585"/>
      <c r="L188" s="1189" t="s">
        <v>175</v>
      </c>
      <c r="M188" s="1192" t="s">
        <v>183</v>
      </c>
      <c r="N188" s="221"/>
      <c r="O188" s="221"/>
      <c r="P188" s="221"/>
      <c r="Q188" s="221"/>
      <c r="R188" s="221"/>
      <c r="S188" s="221"/>
      <c r="T188" s="221"/>
      <c r="U188" s="221"/>
      <c r="V188" s="221"/>
      <c r="W188" s="221"/>
      <c r="X188" s="221"/>
      <c r="Y188" s="221"/>
      <c r="Z188" s="221"/>
      <c r="AA188" s="221"/>
      <c r="AB188" s="221"/>
      <c r="AC188" s="221"/>
      <c r="AD188" s="82"/>
      <c r="AE188" s="83"/>
      <c r="AF188" s="341"/>
      <c r="AG188" s="70"/>
      <c r="AH188" s="83"/>
      <c r="AI188" s="82"/>
    </row>
    <row r="189" spans="1:35" ht="15.5" x14ac:dyDescent="0.3">
      <c r="A189" s="66"/>
      <c r="B189" s="1877" t="s">
        <v>1616</v>
      </c>
      <c r="C189" s="1601"/>
      <c r="D189" s="1586"/>
      <c r="E189" s="1587"/>
      <c r="F189" s="1588"/>
      <c r="G189" s="1202"/>
      <c r="H189" s="1194">
        <f t="shared" ref="H189:H194" si="10">D189-G189</f>
        <v>0</v>
      </c>
      <c r="I189" s="1195"/>
      <c r="J189" s="1659"/>
      <c r="K189" s="1660"/>
      <c r="L189" s="1196"/>
      <c r="M189" s="1197">
        <f t="shared" ref="M189:M194" si="11">J189-L189</f>
        <v>0</v>
      </c>
      <c r="N189" s="221"/>
      <c r="O189" s="221"/>
      <c r="P189" s="221"/>
      <c r="Q189" s="221"/>
      <c r="R189" s="221"/>
      <c r="S189" s="221"/>
      <c r="T189" s="221"/>
      <c r="U189" s="221"/>
      <c r="V189" s="221"/>
      <c r="W189" s="221"/>
      <c r="X189" s="221"/>
      <c r="Y189" s="221"/>
      <c r="Z189" s="221"/>
      <c r="AA189" s="221"/>
      <c r="AB189" s="221"/>
      <c r="AC189" s="221"/>
      <c r="AD189" s="82"/>
      <c r="AE189" s="83"/>
      <c r="AF189" s="341"/>
      <c r="AG189" s="70"/>
      <c r="AH189" s="83"/>
      <c r="AI189" s="82"/>
    </row>
    <row r="190" spans="1:35" ht="15.5" x14ac:dyDescent="0.3">
      <c r="A190" s="66"/>
      <c r="B190" s="1877" t="s">
        <v>1617</v>
      </c>
      <c r="C190" s="1601"/>
      <c r="D190" s="1586"/>
      <c r="E190" s="1587"/>
      <c r="F190" s="1588"/>
      <c r="G190" s="1202"/>
      <c r="H190" s="1194">
        <f t="shared" si="10"/>
        <v>0</v>
      </c>
      <c r="I190" s="1195"/>
      <c r="J190" s="1659"/>
      <c r="K190" s="1660"/>
      <c r="L190" s="1196"/>
      <c r="M190" s="1197">
        <f t="shared" si="11"/>
        <v>0</v>
      </c>
      <c r="N190" s="221"/>
      <c r="O190" s="221"/>
      <c r="P190" s="221"/>
      <c r="Q190" s="221"/>
      <c r="R190" s="221"/>
      <c r="S190" s="221"/>
      <c r="T190" s="221"/>
      <c r="U190" s="221"/>
      <c r="V190" s="221"/>
      <c r="W190" s="221"/>
      <c r="X190" s="221"/>
      <c r="Y190" s="221"/>
      <c r="Z190" s="221"/>
      <c r="AA190" s="221"/>
      <c r="AB190" s="221"/>
      <c r="AC190" s="221"/>
      <c r="AD190" s="82"/>
      <c r="AE190" s="83"/>
      <c r="AF190" s="341"/>
      <c r="AG190" s="70"/>
      <c r="AH190" s="83"/>
      <c r="AI190" s="82"/>
    </row>
    <row r="191" spans="1:35" ht="15.5" x14ac:dyDescent="0.3">
      <c r="A191" s="66"/>
      <c r="B191" s="1877" t="s">
        <v>1618</v>
      </c>
      <c r="C191" s="1601"/>
      <c r="D191" s="1586"/>
      <c r="E191" s="1587"/>
      <c r="F191" s="1588"/>
      <c r="G191" s="1202"/>
      <c r="H191" s="1194">
        <f t="shared" si="10"/>
        <v>0</v>
      </c>
      <c r="I191" s="1195"/>
      <c r="J191" s="1659"/>
      <c r="K191" s="1660"/>
      <c r="L191" s="1196"/>
      <c r="M191" s="1197">
        <f t="shared" si="11"/>
        <v>0</v>
      </c>
      <c r="N191" s="221"/>
      <c r="O191" s="221"/>
      <c r="P191" s="221"/>
      <c r="Q191" s="221"/>
      <c r="R191" s="221"/>
      <c r="S191" s="221"/>
      <c r="T191" s="221"/>
      <c r="U191" s="221"/>
      <c r="V191" s="221"/>
      <c r="W191" s="221"/>
      <c r="X191" s="221"/>
      <c r="Y191" s="221"/>
      <c r="Z191" s="221"/>
      <c r="AA191" s="221"/>
      <c r="AB191" s="221"/>
      <c r="AC191" s="221"/>
      <c r="AD191" s="82"/>
      <c r="AE191" s="83"/>
      <c r="AF191" s="341"/>
      <c r="AG191" s="70"/>
      <c r="AH191" s="83"/>
      <c r="AI191" s="82"/>
    </row>
    <row r="192" spans="1:35" ht="15.5" x14ac:dyDescent="0.3">
      <c r="A192" s="66"/>
      <c r="B192" s="1877" t="s">
        <v>1619</v>
      </c>
      <c r="C192" s="1601"/>
      <c r="D192" s="1586"/>
      <c r="E192" s="1587"/>
      <c r="F192" s="1588"/>
      <c r="G192" s="1202"/>
      <c r="H192" s="1194">
        <f t="shared" si="10"/>
        <v>0</v>
      </c>
      <c r="I192" s="1195"/>
      <c r="J192" s="1659"/>
      <c r="K192" s="1660"/>
      <c r="L192" s="1196"/>
      <c r="M192" s="1197">
        <f t="shared" si="11"/>
        <v>0</v>
      </c>
      <c r="N192" s="221"/>
      <c r="O192" s="221"/>
      <c r="P192" s="221"/>
      <c r="Q192" s="221"/>
      <c r="R192" s="221"/>
      <c r="S192" s="221"/>
      <c r="T192" s="221"/>
      <c r="U192" s="221"/>
      <c r="V192" s="221"/>
      <c r="W192" s="221"/>
      <c r="X192" s="221"/>
      <c r="Y192" s="221"/>
      <c r="Z192" s="221"/>
      <c r="AA192" s="221"/>
      <c r="AB192" s="221"/>
      <c r="AC192" s="221"/>
      <c r="AD192" s="82"/>
      <c r="AE192" s="83"/>
      <c r="AF192" s="341"/>
      <c r="AG192" s="70"/>
      <c r="AH192" s="83"/>
      <c r="AI192" s="82"/>
    </row>
    <row r="193" spans="1:35" ht="15.5" x14ac:dyDescent="0.3">
      <c r="A193" s="66"/>
      <c r="B193" s="1673"/>
      <c r="C193" s="1734"/>
      <c r="D193" s="1586"/>
      <c r="E193" s="1587"/>
      <c r="F193" s="1588"/>
      <c r="G193" s="1202"/>
      <c r="H193" s="1194">
        <f t="shared" si="10"/>
        <v>0</v>
      </c>
      <c r="I193" s="1195"/>
      <c r="J193" s="1659"/>
      <c r="K193" s="1660"/>
      <c r="L193" s="1196"/>
      <c r="M193" s="1197">
        <f t="shared" si="11"/>
        <v>0</v>
      </c>
      <c r="N193" s="221"/>
      <c r="O193" s="221"/>
      <c r="P193" s="221"/>
      <c r="Q193" s="221"/>
      <c r="R193" s="221"/>
      <c r="S193" s="221"/>
      <c r="T193" s="221"/>
      <c r="U193" s="221"/>
      <c r="V193" s="221"/>
      <c r="W193" s="221"/>
      <c r="X193" s="221"/>
      <c r="Y193" s="221"/>
      <c r="Z193" s="221"/>
      <c r="AA193" s="221"/>
      <c r="AB193" s="221"/>
      <c r="AC193" s="221"/>
      <c r="AD193" s="82"/>
      <c r="AE193" s="83"/>
      <c r="AF193" s="341"/>
      <c r="AG193" s="70"/>
      <c r="AH193" s="83"/>
      <c r="AI193" s="82"/>
    </row>
    <row r="194" spans="1:35" ht="15.5" x14ac:dyDescent="0.3">
      <c r="A194" s="66"/>
      <c r="B194" s="1673"/>
      <c r="C194" s="1734"/>
      <c r="D194" s="1586"/>
      <c r="E194" s="1587"/>
      <c r="F194" s="1588"/>
      <c r="G194" s="1202"/>
      <c r="H194" s="1194">
        <f t="shared" si="10"/>
        <v>0</v>
      </c>
      <c r="I194" s="1195"/>
      <c r="J194" s="1659"/>
      <c r="K194" s="1660"/>
      <c r="L194" s="1196"/>
      <c r="M194" s="1197">
        <f t="shared" si="11"/>
        <v>0</v>
      </c>
      <c r="N194" s="221"/>
      <c r="O194" s="221"/>
      <c r="P194" s="221"/>
      <c r="Q194" s="221"/>
      <c r="R194" s="221"/>
      <c r="S194" s="221"/>
      <c r="T194" s="221"/>
      <c r="U194" s="221"/>
      <c r="V194" s="221"/>
      <c r="W194" s="221"/>
      <c r="X194" s="221"/>
      <c r="Y194" s="221"/>
      <c r="Z194" s="221"/>
      <c r="AA194" s="221"/>
      <c r="AB194" s="221"/>
      <c r="AC194" s="221"/>
      <c r="AD194" s="82"/>
      <c r="AE194" s="83"/>
      <c r="AF194" s="341"/>
      <c r="AG194" s="70"/>
      <c r="AH194" s="83"/>
      <c r="AI194" s="82"/>
    </row>
    <row r="195" spans="1:35" ht="16" thickBot="1" x14ac:dyDescent="0.35">
      <c r="A195" s="66"/>
      <c r="B195" s="1183" t="s">
        <v>116</v>
      </c>
      <c r="C195" s="1184"/>
      <c r="D195" s="1591">
        <f>SUM(D189:F194)</f>
        <v>0</v>
      </c>
      <c r="E195" s="1592"/>
      <c r="F195" s="1593"/>
      <c r="G195" s="1185">
        <f>SUM(G189:G194)</f>
        <v>0</v>
      </c>
      <c r="H195" s="1186">
        <f>SUM(H189:H194)</f>
        <v>0</v>
      </c>
      <c r="I195" s="1187"/>
      <c r="J195" s="1666">
        <f>SUM(J189:K194)</f>
        <v>0</v>
      </c>
      <c r="K195" s="1667"/>
      <c r="L195" s="1188">
        <f>SUM(L189:L194)</f>
        <v>0</v>
      </c>
      <c r="M195" s="1188">
        <f>SUM(M189:M194)</f>
        <v>0</v>
      </c>
      <c r="N195" s="221"/>
      <c r="O195" s="221"/>
      <c r="P195" s="221"/>
      <c r="Q195" s="221"/>
      <c r="R195" s="221"/>
      <c r="S195" s="221"/>
      <c r="T195" s="221"/>
      <c r="U195" s="221"/>
      <c r="V195" s="221"/>
      <c r="W195" s="221"/>
      <c r="X195" s="221"/>
      <c r="Y195" s="221"/>
      <c r="Z195" s="221"/>
      <c r="AA195" s="221"/>
      <c r="AB195" s="221"/>
      <c r="AC195" s="221"/>
      <c r="AD195" s="82"/>
      <c r="AE195" s="83"/>
      <c r="AF195" s="341"/>
      <c r="AG195" s="70"/>
      <c r="AH195" s="83"/>
      <c r="AI195" s="82"/>
    </row>
    <row r="196" spans="1:35" ht="16.5" thickTop="1" thickBot="1" x14ac:dyDescent="0.35">
      <c r="A196" s="66"/>
      <c r="B196" s="382"/>
      <c r="C196" s="383"/>
      <c r="D196" s="384"/>
      <c r="E196" s="384"/>
      <c r="F196" s="384"/>
      <c r="G196" s="384"/>
      <c r="H196" s="384"/>
      <c r="I196" s="385"/>
      <c r="J196" s="386"/>
      <c r="K196" s="386"/>
      <c r="L196" s="386"/>
      <c r="M196" s="386"/>
      <c r="N196" s="221"/>
      <c r="O196" s="221"/>
      <c r="P196" s="221"/>
      <c r="Q196" s="221"/>
      <c r="R196" s="221"/>
      <c r="S196" s="221"/>
      <c r="T196" s="221"/>
      <c r="U196" s="221"/>
      <c r="V196" s="221"/>
      <c r="W196" s="221"/>
      <c r="X196" s="221"/>
      <c r="Y196" s="221"/>
      <c r="Z196" s="221"/>
      <c r="AA196" s="221"/>
      <c r="AB196" s="221"/>
      <c r="AC196" s="221"/>
      <c r="AD196" s="82"/>
      <c r="AE196" s="83"/>
      <c r="AF196" s="341"/>
      <c r="AG196" s="70"/>
      <c r="AH196" s="83"/>
      <c r="AI196" s="82"/>
    </row>
    <row r="197" spans="1:35" ht="16.5" thickTop="1" thickBot="1" x14ac:dyDescent="0.4">
      <c r="A197" s="66"/>
      <c r="B197" s="1671" t="str">
        <f>$B$69</f>
        <v>31 Desember 2019</v>
      </c>
      <c r="C197" s="1671"/>
      <c r="D197" s="1671"/>
      <c r="E197" s="1671"/>
      <c r="F197" s="1671"/>
      <c r="G197" s="1671"/>
      <c r="H197" s="1671"/>
      <c r="I197" s="230"/>
      <c r="J197" s="1672" t="str">
        <f>$J$69</f>
        <v>31 Desember 2018</v>
      </c>
      <c r="K197" s="1671"/>
      <c r="L197" s="1671"/>
      <c r="M197" s="1671"/>
      <c r="N197" s="231"/>
      <c r="O197" s="231"/>
      <c r="P197" s="231"/>
      <c r="Q197" s="220"/>
      <c r="R197" s="220"/>
      <c r="S197" s="220"/>
      <c r="T197" s="220"/>
      <c r="U197" s="220"/>
      <c r="V197" s="220"/>
      <c r="W197" s="220"/>
      <c r="X197" s="221"/>
      <c r="Y197" s="221"/>
      <c r="Z197" s="221"/>
      <c r="AA197" s="221"/>
      <c r="AB197" s="221"/>
      <c r="AC197" s="221"/>
      <c r="AD197" s="82"/>
      <c r="AE197" s="83"/>
      <c r="AG197" s="70"/>
      <c r="AH197" s="83"/>
      <c r="AI197" s="82"/>
    </row>
    <row r="198" spans="1:35" ht="20.5" thickTop="1" x14ac:dyDescent="0.3">
      <c r="A198" s="66"/>
      <c r="B198" s="1668" t="s">
        <v>1626</v>
      </c>
      <c r="C198" s="1669"/>
      <c r="D198" s="1669"/>
      <c r="E198" s="1669"/>
      <c r="F198" s="1669"/>
      <c r="G198" s="1669"/>
      <c r="H198" s="1669"/>
      <c r="I198" s="1669"/>
      <c r="J198" s="1669"/>
      <c r="K198" s="1669"/>
      <c r="L198" s="1669"/>
      <c r="M198" s="1670"/>
      <c r="N198" s="221"/>
      <c r="O198" s="221"/>
      <c r="P198" s="221"/>
      <c r="Q198" s="221"/>
      <c r="R198" s="221"/>
      <c r="S198" s="221"/>
      <c r="T198" s="221"/>
      <c r="U198" s="221"/>
      <c r="V198" s="221"/>
      <c r="W198" s="221"/>
      <c r="X198" s="221"/>
      <c r="Y198" s="221"/>
      <c r="Z198" s="221"/>
      <c r="AA198" s="221"/>
      <c r="AB198" s="221"/>
      <c r="AC198" s="221"/>
      <c r="AD198" s="82"/>
      <c r="AE198" s="83"/>
      <c r="AG198" s="70"/>
      <c r="AH198" s="83"/>
      <c r="AI198" s="82"/>
    </row>
    <row r="199" spans="1:35" ht="15.5" x14ac:dyDescent="0.3">
      <c r="A199" s="66"/>
      <c r="B199" s="1710"/>
      <c r="C199" s="1601"/>
      <c r="D199" s="1584" t="s">
        <v>46</v>
      </c>
      <c r="E199" s="1713"/>
      <c r="F199" s="1585"/>
      <c r="G199" s="1189" t="s">
        <v>175</v>
      </c>
      <c r="H199" s="1190" t="s">
        <v>183</v>
      </c>
      <c r="I199" s="1191"/>
      <c r="J199" s="1584" t="s">
        <v>46</v>
      </c>
      <c r="K199" s="1585"/>
      <c r="L199" s="1189" t="s">
        <v>175</v>
      </c>
      <c r="M199" s="1192" t="s">
        <v>183</v>
      </c>
      <c r="N199" s="221"/>
      <c r="O199" s="221"/>
      <c r="P199" s="221"/>
      <c r="Q199" s="221"/>
      <c r="R199" s="221"/>
      <c r="S199" s="221"/>
      <c r="T199" s="221"/>
      <c r="U199" s="221"/>
      <c r="V199" s="221"/>
      <c r="W199" s="221"/>
      <c r="X199" s="221"/>
      <c r="Y199" s="221"/>
      <c r="Z199" s="221"/>
      <c r="AA199" s="221"/>
      <c r="AB199" s="221"/>
      <c r="AC199" s="221"/>
      <c r="AD199" s="82"/>
      <c r="AE199" s="83"/>
      <c r="AG199" s="70"/>
      <c r="AH199" s="83"/>
      <c r="AI199" s="82"/>
    </row>
    <row r="200" spans="1:35" x14ac:dyDescent="0.3">
      <c r="A200" s="66"/>
      <c r="B200" s="1711" t="s">
        <v>1620</v>
      </c>
      <c r="C200" s="1712"/>
      <c r="D200" s="1586"/>
      <c r="E200" s="1587"/>
      <c r="F200" s="1588"/>
      <c r="G200" s="1202"/>
      <c r="H200" s="1194">
        <f>D200-G200</f>
        <v>0</v>
      </c>
      <c r="I200" s="1195"/>
      <c r="J200" s="1659"/>
      <c r="K200" s="1660"/>
      <c r="L200" s="1196"/>
      <c r="M200" s="1197">
        <f>J200-L200</f>
        <v>0</v>
      </c>
      <c r="N200" s="221"/>
      <c r="O200" s="221"/>
      <c r="P200" s="221"/>
      <c r="Q200" s="221"/>
      <c r="R200" s="221"/>
      <c r="S200" s="221"/>
      <c r="T200" s="221"/>
      <c r="U200" s="221"/>
      <c r="V200" s="221"/>
      <c r="W200" s="221"/>
      <c r="X200" s="221"/>
      <c r="Y200" s="221"/>
      <c r="Z200" s="221"/>
      <c r="AA200" s="221"/>
      <c r="AB200" s="221"/>
      <c r="AC200" s="221"/>
      <c r="AD200" s="82"/>
      <c r="AE200" s="83"/>
      <c r="AF200" s="2101">
        <v>511511</v>
      </c>
      <c r="AG200" s="2101"/>
      <c r="AH200" s="83"/>
      <c r="AI200" s="82"/>
    </row>
    <row r="201" spans="1:35" x14ac:dyDescent="0.3">
      <c r="A201" s="66"/>
      <c r="B201" s="1711" t="s">
        <v>1621</v>
      </c>
      <c r="C201" s="1712"/>
      <c r="D201" s="1586"/>
      <c r="E201" s="1587"/>
      <c r="F201" s="1588"/>
      <c r="G201" s="1206"/>
      <c r="H201" s="1194">
        <f>D201-G201</f>
        <v>0</v>
      </c>
      <c r="I201" s="1195"/>
      <c r="J201" s="1659"/>
      <c r="K201" s="1660"/>
      <c r="L201" s="1196"/>
      <c r="M201" s="1197">
        <f>J201-L201</f>
        <v>0</v>
      </c>
      <c r="N201" s="221"/>
      <c r="O201" s="221"/>
      <c r="P201" s="221"/>
      <c r="Q201" s="221"/>
      <c r="R201" s="221"/>
      <c r="S201" s="221"/>
      <c r="T201" s="221"/>
      <c r="U201" s="221"/>
      <c r="V201" s="221"/>
      <c r="W201" s="221"/>
      <c r="X201" s="221"/>
      <c r="Y201" s="221"/>
      <c r="Z201" s="221"/>
      <c r="AA201" s="221"/>
      <c r="AB201" s="221"/>
      <c r="AC201" s="221"/>
      <c r="AD201" s="82"/>
      <c r="AE201" s="83"/>
      <c r="AF201" s="2101">
        <v>511512</v>
      </c>
      <c r="AG201" s="2101"/>
      <c r="AH201" s="83"/>
      <c r="AI201" s="82"/>
    </row>
    <row r="202" spans="1:35" x14ac:dyDescent="0.3">
      <c r="A202" s="66"/>
      <c r="B202" s="1711" t="s">
        <v>1622</v>
      </c>
      <c r="C202" s="1712"/>
      <c r="D202" s="1586"/>
      <c r="E202" s="1587"/>
      <c r="F202" s="1588"/>
      <c r="G202" s="1206"/>
      <c r="H202" s="1194">
        <f t="shared" ref="H202:H207" si="12">D202-G202</f>
        <v>0</v>
      </c>
      <c r="I202" s="1195"/>
      <c r="J202" s="1659"/>
      <c r="K202" s="1660"/>
      <c r="L202" s="1196"/>
      <c r="M202" s="1197">
        <f t="shared" ref="M202:M207" si="13">J202-L202</f>
        <v>0</v>
      </c>
      <c r="N202" s="221"/>
      <c r="O202" s="221"/>
      <c r="P202" s="221"/>
      <c r="Q202" s="221"/>
      <c r="R202" s="221"/>
      <c r="S202" s="221"/>
      <c r="T202" s="221"/>
      <c r="U202" s="221"/>
      <c r="V202" s="221"/>
      <c r="W202" s="221"/>
      <c r="X202" s="221"/>
      <c r="Y202" s="221"/>
      <c r="Z202" s="221"/>
      <c r="AA202" s="221"/>
      <c r="AB202" s="221"/>
      <c r="AC202" s="221"/>
      <c r="AD202" s="82"/>
      <c r="AE202" s="83"/>
      <c r="AF202" s="340"/>
      <c r="AG202" s="340"/>
      <c r="AH202" s="83"/>
      <c r="AI202" s="82"/>
    </row>
    <row r="203" spans="1:35" x14ac:dyDescent="0.3">
      <c r="A203" s="66"/>
      <c r="B203" s="1711" t="s">
        <v>1623</v>
      </c>
      <c r="C203" s="1712"/>
      <c r="D203" s="1586"/>
      <c r="E203" s="1587"/>
      <c r="F203" s="1588"/>
      <c r="G203" s="1206"/>
      <c r="H203" s="1194">
        <f t="shared" si="12"/>
        <v>0</v>
      </c>
      <c r="I203" s="1195"/>
      <c r="J203" s="1659"/>
      <c r="K203" s="1660"/>
      <c r="L203" s="1196"/>
      <c r="M203" s="1197">
        <f t="shared" si="13"/>
        <v>0</v>
      </c>
      <c r="N203" s="221"/>
      <c r="O203" s="221"/>
      <c r="P203" s="221"/>
      <c r="Q203" s="221"/>
      <c r="R203" s="221"/>
      <c r="S203" s="221"/>
      <c r="T203" s="221"/>
      <c r="U203" s="221"/>
      <c r="V203" s="221"/>
      <c r="W203" s="221"/>
      <c r="X203" s="221"/>
      <c r="Y203" s="221"/>
      <c r="Z203" s="221"/>
      <c r="AA203" s="221"/>
      <c r="AB203" s="221"/>
      <c r="AC203" s="221"/>
      <c r="AD203" s="82"/>
      <c r="AE203" s="83"/>
      <c r="AF203" s="340"/>
      <c r="AG203" s="340"/>
      <c r="AH203" s="83"/>
      <c r="AI203" s="82"/>
    </row>
    <row r="204" spans="1:35" x14ac:dyDescent="0.3">
      <c r="A204" s="66"/>
      <c r="B204" s="1711" t="s">
        <v>1624</v>
      </c>
      <c r="C204" s="1712"/>
      <c r="D204" s="1586"/>
      <c r="E204" s="1587"/>
      <c r="F204" s="1588"/>
      <c r="G204" s="1206"/>
      <c r="H204" s="1194">
        <f t="shared" si="12"/>
        <v>0</v>
      </c>
      <c r="I204" s="1195"/>
      <c r="J204" s="1659"/>
      <c r="K204" s="1660"/>
      <c r="L204" s="1196"/>
      <c r="M204" s="1197">
        <f t="shared" si="13"/>
        <v>0</v>
      </c>
      <c r="N204" s="221"/>
      <c r="O204" s="221"/>
      <c r="P204" s="221"/>
      <c r="Q204" s="221"/>
      <c r="R204" s="221"/>
      <c r="S204" s="221"/>
      <c r="T204" s="221"/>
      <c r="U204" s="221"/>
      <c r="V204" s="221"/>
      <c r="W204" s="221"/>
      <c r="X204" s="221"/>
      <c r="Y204" s="221"/>
      <c r="Z204" s="221"/>
      <c r="AA204" s="221"/>
      <c r="AB204" s="221"/>
      <c r="AC204" s="221"/>
      <c r="AD204" s="82"/>
      <c r="AE204" s="83"/>
      <c r="AF204" s="2101">
        <v>511513</v>
      </c>
      <c r="AG204" s="2101"/>
      <c r="AH204" s="83"/>
      <c r="AI204" s="82"/>
    </row>
    <row r="205" spans="1:35" x14ac:dyDescent="0.3">
      <c r="A205" s="66"/>
      <c r="B205" s="1711" t="s">
        <v>1625</v>
      </c>
      <c r="C205" s="1712"/>
      <c r="D205" s="1586"/>
      <c r="E205" s="1587"/>
      <c r="F205" s="1588"/>
      <c r="G205" s="1206"/>
      <c r="H205" s="1194">
        <f t="shared" si="12"/>
        <v>0</v>
      </c>
      <c r="I205" s="1195"/>
      <c r="J205" s="1659"/>
      <c r="K205" s="1660"/>
      <c r="L205" s="1196"/>
      <c r="M205" s="1197">
        <f t="shared" si="13"/>
        <v>0</v>
      </c>
      <c r="N205" s="221"/>
      <c r="O205" s="221"/>
      <c r="P205" s="221"/>
      <c r="Q205" s="221"/>
      <c r="R205" s="221"/>
      <c r="S205" s="221"/>
      <c r="T205" s="221"/>
      <c r="U205" s="221"/>
      <c r="V205" s="221"/>
      <c r="W205" s="221"/>
      <c r="X205" s="221"/>
      <c r="Y205" s="221"/>
      <c r="Z205" s="221"/>
      <c r="AA205" s="221"/>
      <c r="AB205" s="221"/>
      <c r="AC205" s="221"/>
      <c r="AD205" s="82"/>
      <c r="AE205" s="83"/>
      <c r="AF205" s="2101">
        <v>511519</v>
      </c>
      <c r="AG205" s="2101"/>
      <c r="AH205" s="83"/>
      <c r="AI205" s="82"/>
    </row>
    <row r="206" spans="1:35" ht="15.5" x14ac:dyDescent="0.3">
      <c r="A206" s="66"/>
      <c r="B206" s="1673"/>
      <c r="C206" s="1734"/>
      <c r="D206" s="1586"/>
      <c r="E206" s="1587"/>
      <c r="F206" s="1588"/>
      <c r="G206" s="1206"/>
      <c r="H206" s="1194">
        <f t="shared" si="12"/>
        <v>0</v>
      </c>
      <c r="I206" s="1195"/>
      <c r="J206" s="1659"/>
      <c r="K206" s="1660"/>
      <c r="L206" s="1196"/>
      <c r="M206" s="1197">
        <f t="shared" si="13"/>
        <v>0</v>
      </c>
      <c r="N206" s="221"/>
      <c r="O206" s="221"/>
      <c r="P206" s="221"/>
      <c r="Q206" s="221"/>
      <c r="R206" s="221"/>
      <c r="S206" s="221"/>
      <c r="T206" s="221"/>
      <c r="U206" s="221"/>
      <c r="V206" s="221"/>
      <c r="W206" s="221"/>
      <c r="X206" s="221"/>
      <c r="Y206" s="221"/>
      <c r="Z206" s="221"/>
      <c r="AA206" s="221"/>
      <c r="AB206" s="221"/>
      <c r="AC206" s="221"/>
      <c r="AD206" s="82"/>
      <c r="AE206" s="83"/>
      <c r="AG206" s="70"/>
      <c r="AH206" s="83"/>
      <c r="AI206" s="82"/>
    </row>
    <row r="207" spans="1:35" ht="15.5" x14ac:dyDescent="0.3">
      <c r="A207" s="66"/>
      <c r="B207" s="1735"/>
      <c r="C207" s="1736"/>
      <c r="D207" s="1586"/>
      <c r="E207" s="1587"/>
      <c r="F207" s="1588"/>
      <c r="G207" s="1206"/>
      <c r="H207" s="1194">
        <f t="shared" si="12"/>
        <v>0</v>
      </c>
      <c r="I207" s="1195"/>
      <c r="J207" s="1659"/>
      <c r="K207" s="1660"/>
      <c r="L207" s="1196"/>
      <c r="M207" s="1197">
        <f t="shared" si="13"/>
        <v>0</v>
      </c>
      <c r="N207" s="221"/>
      <c r="O207" s="221"/>
      <c r="P207" s="221"/>
      <c r="Q207" s="221"/>
      <c r="R207" s="221"/>
      <c r="S207" s="221"/>
      <c r="T207" s="221"/>
      <c r="U207" s="221"/>
      <c r="V207" s="221"/>
      <c r="W207" s="221"/>
      <c r="X207" s="221"/>
      <c r="Y207" s="221"/>
      <c r="Z207" s="221"/>
      <c r="AA207" s="221"/>
      <c r="AB207" s="221"/>
      <c r="AC207" s="221"/>
      <c r="AD207" s="82"/>
      <c r="AE207" s="83"/>
      <c r="AG207" s="70"/>
      <c r="AH207" s="83"/>
      <c r="AI207" s="82"/>
    </row>
    <row r="208" spans="1:35" ht="16" thickBot="1" x14ac:dyDescent="0.35">
      <c r="A208" s="66"/>
      <c r="B208" s="1183" t="s">
        <v>116</v>
      </c>
      <c r="C208" s="1184"/>
      <c r="D208" s="1591">
        <f>SUM(D200:F207)</f>
        <v>0</v>
      </c>
      <c r="E208" s="1592"/>
      <c r="F208" s="1593"/>
      <c r="G208" s="1185">
        <f>SUM(G200:G207)</f>
        <v>0</v>
      </c>
      <c r="H208" s="1186">
        <f>SUM(H200:H207)</f>
        <v>0</v>
      </c>
      <c r="I208" s="1187"/>
      <c r="J208" s="1666">
        <f>SUM(J200:K207)</f>
        <v>0</v>
      </c>
      <c r="K208" s="1667"/>
      <c r="L208" s="1188">
        <f>SUM(L200:L207)</f>
        <v>0</v>
      </c>
      <c r="M208" s="1188">
        <f>SUM(M200:M207)</f>
        <v>0</v>
      </c>
      <c r="N208" s="221"/>
      <c r="O208" s="221"/>
      <c r="P208" s="221"/>
      <c r="Q208" s="221"/>
      <c r="R208" s="221"/>
      <c r="S208" s="221"/>
      <c r="T208" s="221"/>
      <c r="U208" s="221"/>
      <c r="V208" s="221"/>
      <c r="W208" s="221"/>
      <c r="X208" s="221"/>
      <c r="Y208" s="221"/>
      <c r="Z208" s="221"/>
      <c r="AA208" s="221"/>
      <c r="AB208" s="221"/>
      <c r="AC208" s="221"/>
      <c r="AD208" s="82"/>
      <c r="AE208" s="83"/>
      <c r="AG208" s="70"/>
      <c r="AH208" s="83"/>
      <c r="AI208" s="82"/>
    </row>
    <row r="209" spans="1:35" ht="16.5" thickTop="1" thickBot="1" x14ac:dyDescent="0.4">
      <c r="A209" s="66"/>
      <c r="B209" s="1671" t="str">
        <f>$B$69</f>
        <v>31 Desember 2019</v>
      </c>
      <c r="C209" s="1671"/>
      <c r="D209" s="1671"/>
      <c r="E209" s="1671"/>
      <c r="F209" s="1671"/>
      <c r="G209" s="1671"/>
      <c r="H209" s="1671"/>
      <c r="I209" s="230"/>
      <c r="J209" s="1672" t="str">
        <f>$J$69</f>
        <v>31 Desember 2018</v>
      </c>
      <c r="K209" s="1671"/>
      <c r="L209" s="1671"/>
      <c r="M209" s="1671"/>
      <c r="N209" s="221"/>
      <c r="O209" s="221"/>
      <c r="P209" s="221"/>
      <c r="Q209" s="221"/>
      <c r="R209" s="221"/>
      <c r="S209" s="221"/>
      <c r="T209" s="221"/>
      <c r="U209" s="221"/>
      <c r="V209" s="221"/>
      <c r="W209" s="221"/>
      <c r="X209" s="221"/>
      <c r="Y209" s="221"/>
      <c r="Z209" s="221"/>
      <c r="AA209" s="221"/>
      <c r="AB209" s="221"/>
      <c r="AC209" s="221"/>
      <c r="AD209" s="82"/>
      <c r="AE209" s="83"/>
      <c r="AG209" s="70"/>
      <c r="AH209" s="83"/>
      <c r="AI209" s="82"/>
    </row>
    <row r="210" spans="1:35" ht="15" customHeight="1" thickTop="1" x14ac:dyDescent="0.3">
      <c r="A210" s="66"/>
      <c r="B210" s="2056" t="s">
        <v>186</v>
      </c>
      <c r="C210" s="2057"/>
      <c r="D210" s="2057"/>
      <c r="E210" s="2057"/>
      <c r="F210" s="2057"/>
      <c r="G210" s="2057"/>
      <c r="H210" s="2057"/>
      <c r="I210" s="2057"/>
      <c r="J210" s="2057"/>
      <c r="K210" s="2057"/>
      <c r="L210" s="2057"/>
      <c r="M210" s="2058"/>
      <c r="N210" s="221"/>
      <c r="O210" s="221"/>
      <c r="P210" s="221"/>
      <c r="Q210" s="221"/>
      <c r="R210" s="221"/>
      <c r="S210" s="221"/>
      <c r="T210" s="221"/>
      <c r="U210" s="221"/>
      <c r="V210" s="221"/>
      <c r="W210" s="221"/>
      <c r="X210" s="221"/>
      <c r="Y210" s="221"/>
      <c r="Z210" s="221"/>
      <c r="AA210" s="221"/>
      <c r="AB210" s="221"/>
      <c r="AC210" s="221"/>
      <c r="AD210" s="223"/>
      <c r="AE210" s="83"/>
      <c r="AG210" s="70"/>
      <c r="AH210" s="83"/>
      <c r="AI210" s="82"/>
    </row>
    <row r="211" spans="1:35" ht="32.25" customHeight="1" x14ac:dyDescent="0.3">
      <c r="A211" s="66"/>
      <c r="B211" s="2059"/>
      <c r="C211" s="2060"/>
      <c r="D211" s="2060"/>
      <c r="E211" s="2060"/>
      <c r="F211" s="2060"/>
      <c r="G211" s="2060"/>
      <c r="H211" s="2060"/>
      <c r="I211" s="2060"/>
      <c r="J211" s="2060"/>
      <c r="K211" s="2060"/>
      <c r="L211" s="2060"/>
      <c r="M211" s="2061"/>
      <c r="N211" s="221"/>
      <c r="O211" s="221"/>
      <c r="P211" s="221"/>
      <c r="Q211" s="221"/>
      <c r="R211" s="221"/>
      <c r="S211" s="221"/>
      <c r="T211" s="221"/>
      <c r="U211" s="221"/>
      <c r="V211" s="221"/>
      <c r="W211" s="221"/>
      <c r="X211" s="221"/>
      <c r="Y211" s="221"/>
      <c r="Z211" s="221"/>
      <c r="AA211" s="221"/>
      <c r="AB211" s="221"/>
      <c r="AC211" s="221"/>
      <c r="AD211" s="223"/>
      <c r="AE211" s="83"/>
      <c r="AG211" s="70"/>
      <c r="AH211" s="83"/>
      <c r="AI211" s="82"/>
    </row>
    <row r="212" spans="1:35" ht="15.5" x14ac:dyDescent="0.3">
      <c r="A212" s="66"/>
      <c r="B212" s="1710"/>
      <c r="C212" s="1601"/>
      <c r="D212" s="1584" t="s">
        <v>46</v>
      </c>
      <c r="E212" s="1713"/>
      <c r="F212" s="1585"/>
      <c r="G212" s="1189" t="s">
        <v>175</v>
      </c>
      <c r="H212" s="1190" t="s">
        <v>183</v>
      </c>
      <c r="I212" s="1191"/>
      <c r="J212" s="1584" t="s">
        <v>46</v>
      </c>
      <c r="K212" s="1585"/>
      <c r="L212" s="1189" t="s">
        <v>175</v>
      </c>
      <c r="M212" s="1192" t="s">
        <v>183</v>
      </c>
      <c r="N212" s="221"/>
      <c r="O212" s="221"/>
      <c r="P212" s="221"/>
      <c r="Q212" s="221"/>
      <c r="R212" s="221"/>
      <c r="S212" s="221"/>
      <c r="T212" s="221"/>
      <c r="U212" s="221"/>
      <c r="V212" s="221"/>
      <c r="W212" s="221"/>
      <c r="X212" s="221"/>
      <c r="Y212" s="221"/>
      <c r="Z212" s="221"/>
      <c r="AA212" s="221"/>
      <c r="AB212" s="221"/>
      <c r="AC212" s="221"/>
      <c r="AD212" s="223"/>
      <c r="AE212" s="83"/>
      <c r="AG212" s="70"/>
      <c r="AH212" s="83"/>
      <c r="AI212" s="82"/>
    </row>
    <row r="213" spans="1:35" x14ac:dyDescent="0.3">
      <c r="A213" s="66"/>
      <c r="B213" s="1600">
        <v>5121</v>
      </c>
      <c r="C213" s="1601"/>
      <c r="D213" s="1586"/>
      <c r="E213" s="1587"/>
      <c r="F213" s="1588"/>
      <c r="G213" s="1202"/>
      <c r="H213" s="1194">
        <f t="shared" ref="H213:H218" si="14">D213-G213</f>
        <v>0</v>
      </c>
      <c r="I213" s="1195"/>
      <c r="J213" s="1659"/>
      <c r="K213" s="1660"/>
      <c r="L213" s="1196"/>
      <c r="M213" s="1197">
        <f t="shared" ref="M213:M218" si="15">J213-L213</f>
        <v>0</v>
      </c>
      <c r="N213" s="221"/>
      <c r="O213" s="221"/>
      <c r="P213" s="221"/>
      <c r="Q213" s="221"/>
      <c r="R213" s="221"/>
      <c r="S213" s="221"/>
      <c r="T213" s="221"/>
      <c r="U213" s="221"/>
      <c r="V213" s="221"/>
      <c r="W213" s="221"/>
      <c r="X213" s="221"/>
      <c r="Y213" s="221"/>
      <c r="Z213" s="221"/>
      <c r="AA213" s="221"/>
      <c r="AB213" s="221"/>
      <c r="AC213" s="221"/>
      <c r="AD213" s="223"/>
      <c r="AE213" s="83"/>
      <c r="AF213" s="2101">
        <v>5121</v>
      </c>
      <c r="AG213" s="2101"/>
      <c r="AH213" s="83"/>
      <c r="AI213" s="82"/>
    </row>
    <row r="214" spans="1:35" x14ac:dyDescent="0.3">
      <c r="A214" s="66"/>
      <c r="B214" s="1600">
        <v>5122</v>
      </c>
      <c r="C214" s="1601"/>
      <c r="D214" s="1586"/>
      <c r="E214" s="1587"/>
      <c r="F214" s="1588"/>
      <c r="G214" s="1206"/>
      <c r="H214" s="1194">
        <f t="shared" si="14"/>
        <v>0</v>
      </c>
      <c r="I214" s="1195"/>
      <c r="J214" s="1659">
        <v>15743000</v>
      </c>
      <c r="K214" s="1660"/>
      <c r="L214" s="1196"/>
      <c r="M214" s="1197">
        <f t="shared" si="15"/>
        <v>15743000</v>
      </c>
      <c r="N214" s="221"/>
      <c r="O214" s="221"/>
      <c r="P214" s="221"/>
      <c r="Q214" s="221"/>
      <c r="R214" s="221"/>
      <c r="S214" s="221"/>
      <c r="T214" s="221"/>
      <c r="U214" s="221"/>
      <c r="V214" s="221"/>
      <c r="W214" s="221"/>
      <c r="X214" s="221"/>
      <c r="Y214" s="221"/>
      <c r="Z214" s="221"/>
      <c r="AA214" s="221"/>
      <c r="AB214" s="221"/>
      <c r="AC214" s="221"/>
      <c r="AD214" s="223"/>
      <c r="AE214" s="83"/>
      <c r="AF214" s="2101">
        <v>5122</v>
      </c>
      <c r="AG214" s="2101"/>
      <c r="AH214" s="83"/>
      <c r="AI214" s="82"/>
    </row>
    <row r="215" spans="1:35" x14ac:dyDescent="0.3">
      <c r="A215" s="66"/>
      <c r="B215" s="1600">
        <v>5123</v>
      </c>
      <c r="C215" s="1601"/>
      <c r="D215" s="1586"/>
      <c r="E215" s="1587"/>
      <c r="F215" s="1588"/>
      <c r="G215" s="1206"/>
      <c r="H215" s="1194">
        <f t="shared" si="14"/>
        <v>0</v>
      </c>
      <c r="I215" s="1198"/>
      <c r="J215" s="1659"/>
      <c r="K215" s="1660"/>
      <c r="L215" s="1196"/>
      <c r="M215" s="1197">
        <f t="shared" si="15"/>
        <v>0</v>
      </c>
      <c r="N215" s="221"/>
      <c r="O215" s="221"/>
      <c r="P215" s="221"/>
      <c r="Q215" s="221"/>
      <c r="R215" s="221"/>
      <c r="S215" s="221"/>
      <c r="T215" s="221"/>
      <c r="U215" s="221"/>
      <c r="V215" s="221"/>
      <c r="W215" s="221"/>
      <c r="X215" s="221"/>
      <c r="Y215" s="221"/>
      <c r="Z215" s="221"/>
      <c r="AA215" s="221"/>
      <c r="AB215" s="221"/>
      <c r="AC215" s="221"/>
      <c r="AD215" s="223"/>
      <c r="AE215" s="83"/>
      <c r="AF215" s="2101">
        <v>5123</v>
      </c>
      <c r="AG215" s="2101"/>
      <c r="AH215" s="83"/>
      <c r="AI215" s="82"/>
    </row>
    <row r="216" spans="1:35" x14ac:dyDescent="0.3">
      <c r="A216" s="66"/>
      <c r="B216" s="1600">
        <v>5124</v>
      </c>
      <c r="C216" s="1601"/>
      <c r="D216" s="1586"/>
      <c r="E216" s="1587"/>
      <c r="F216" s="1588"/>
      <c r="G216" s="1206"/>
      <c r="H216" s="1194">
        <f t="shared" si="14"/>
        <v>0</v>
      </c>
      <c r="I216" s="1199"/>
      <c r="J216" s="1659"/>
      <c r="K216" s="1660"/>
      <c r="L216" s="1196"/>
      <c r="M216" s="1197">
        <f t="shared" si="15"/>
        <v>0</v>
      </c>
      <c r="N216" s="221"/>
      <c r="O216" s="221"/>
      <c r="P216" s="221"/>
      <c r="Q216" s="221"/>
      <c r="R216" s="221"/>
      <c r="S216" s="221"/>
      <c r="T216" s="221"/>
      <c r="U216" s="221"/>
      <c r="V216" s="221"/>
      <c r="W216" s="221"/>
      <c r="X216" s="221"/>
      <c r="Y216" s="221"/>
      <c r="Z216" s="221"/>
      <c r="AA216" s="221"/>
      <c r="AB216" s="221"/>
      <c r="AC216" s="221"/>
      <c r="AD216" s="223"/>
      <c r="AE216" s="83"/>
      <c r="AF216" s="2101">
        <v>5124</v>
      </c>
      <c r="AG216" s="2101"/>
      <c r="AH216" s="83"/>
      <c r="AI216" s="82"/>
    </row>
    <row r="217" spans="1:35" ht="15.5" x14ac:dyDescent="0.3">
      <c r="A217" s="66"/>
      <c r="B217" s="1673"/>
      <c r="C217" s="1734"/>
      <c r="D217" s="1586"/>
      <c r="E217" s="1587"/>
      <c r="F217" s="1588"/>
      <c r="G217" s="1206"/>
      <c r="H217" s="1194">
        <f t="shared" si="14"/>
        <v>0</v>
      </c>
      <c r="I217" s="1195"/>
      <c r="J217" s="1659"/>
      <c r="K217" s="1660"/>
      <c r="L217" s="1196"/>
      <c r="M217" s="1197">
        <f t="shared" si="15"/>
        <v>0</v>
      </c>
      <c r="N217" s="221"/>
      <c r="O217" s="221"/>
      <c r="P217" s="221"/>
      <c r="Q217" s="221"/>
      <c r="R217" s="221"/>
      <c r="S217" s="221"/>
      <c r="T217" s="221"/>
      <c r="U217" s="221"/>
      <c r="V217" s="221"/>
      <c r="W217" s="221"/>
      <c r="X217" s="221"/>
      <c r="Y217" s="221"/>
      <c r="Z217" s="221"/>
      <c r="AA217" s="221"/>
      <c r="AB217" s="221"/>
      <c r="AC217" s="221"/>
      <c r="AD217" s="223"/>
      <c r="AE217" s="83"/>
      <c r="AG217" s="70"/>
      <c r="AH217" s="83"/>
      <c r="AI217" s="82"/>
    </row>
    <row r="218" spans="1:35" ht="15.5" x14ac:dyDescent="0.3">
      <c r="A218" s="66"/>
      <c r="B218" s="1735"/>
      <c r="C218" s="1736"/>
      <c r="D218" s="1586"/>
      <c r="E218" s="1587"/>
      <c r="F218" s="1588"/>
      <c r="G218" s="1206"/>
      <c r="H218" s="1194">
        <f t="shared" si="14"/>
        <v>0</v>
      </c>
      <c r="I218" s="1195"/>
      <c r="J218" s="1659"/>
      <c r="K218" s="1660"/>
      <c r="L218" s="1196"/>
      <c r="M218" s="1197">
        <f t="shared" si="15"/>
        <v>0</v>
      </c>
      <c r="N218" s="221"/>
      <c r="O218" s="221"/>
      <c r="P218" s="221"/>
      <c r="Q218" s="221"/>
      <c r="R218" s="221"/>
      <c r="S218" s="221"/>
      <c r="T218" s="221"/>
      <c r="U218" s="221"/>
      <c r="V218" s="221"/>
      <c r="W218" s="221"/>
      <c r="X218" s="221"/>
      <c r="Y218" s="221"/>
      <c r="Z218" s="221"/>
      <c r="AA218" s="221"/>
      <c r="AB218" s="221"/>
      <c r="AC218" s="221"/>
      <c r="AD218" s="223"/>
      <c r="AE218" s="83"/>
      <c r="AG218" s="70"/>
      <c r="AH218" s="83"/>
      <c r="AI218" s="82"/>
    </row>
    <row r="219" spans="1:35" ht="16" thickBot="1" x14ac:dyDescent="0.35">
      <c r="A219" s="66"/>
      <c r="B219" s="1183" t="s">
        <v>116</v>
      </c>
      <c r="C219" s="1184"/>
      <c r="D219" s="1591">
        <f>SUM(D213:F218)</f>
        <v>0</v>
      </c>
      <c r="E219" s="1592"/>
      <c r="F219" s="1593"/>
      <c r="G219" s="1185">
        <f>SUM(G213:G218)</f>
        <v>0</v>
      </c>
      <c r="H219" s="1186">
        <f>SUM(H213:H218)</f>
        <v>0</v>
      </c>
      <c r="I219" s="1187"/>
      <c r="J219" s="1666">
        <f>SUM(J213:K218)</f>
        <v>15743000</v>
      </c>
      <c r="K219" s="1667"/>
      <c r="L219" s="1188">
        <f>SUM(L213:L218)</f>
        <v>0</v>
      </c>
      <c r="M219" s="1188">
        <f>SUM(M213:M218)</f>
        <v>15743000</v>
      </c>
      <c r="N219" s="221"/>
      <c r="O219" s="221"/>
      <c r="P219" s="221"/>
      <c r="Q219" s="221"/>
      <c r="R219" s="221"/>
      <c r="S219" s="221"/>
      <c r="T219" s="221"/>
      <c r="U219" s="221"/>
      <c r="V219" s="221"/>
      <c r="W219" s="221"/>
      <c r="X219" s="221"/>
      <c r="Y219" s="221"/>
      <c r="Z219" s="221"/>
      <c r="AA219" s="221"/>
      <c r="AB219" s="221"/>
      <c r="AC219" s="221"/>
      <c r="AD219" s="223"/>
      <c r="AE219" s="83"/>
      <c r="AG219" s="70"/>
      <c r="AH219" s="83"/>
      <c r="AI219" s="82"/>
    </row>
    <row r="220" spans="1:35" ht="16" thickTop="1" x14ac:dyDescent="0.3">
      <c r="A220" s="66"/>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21"/>
      <c r="AD220" s="223"/>
      <c r="AE220" s="83"/>
      <c r="AG220" s="70"/>
      <c r="AH220" s="83"/>
      <c r="AI220" s="82"/>
    </row>
    <row r="221" spans="1:35" ht="15.5" x14ac:dyDescent="0.3">
      <c r="A221" s="66"/>
      <c r="B221" s="1728" t="s">
        <v>1203</v>
      </c>
      <c r="C221" s="1729"/>
      <c r="D221" s="1729"/>
      <c r="E221" s="1729"/>
      <c r="F221" s="1729"/>
      <c r="G221" s="1729"/>
      <c r="H221" s="1729"/>
      <c r="I221" s="1729"/>
      <c r="J221" s="1729"/>
      <c r="K221" s="1729"/>
      <c r="L221" s="1729"/>
      <c r="M221" s="1729"/>
      <c r="N221" s="221"/>
      <c r="O221" s="221"/>
      <c r="P221" s="221"/>
      <c r="Q221" s="221"/>
      <c r="R221" s="221"/>
      <c r="S221" s="221"/>
      <c r="T221" s="221"/>
      <c r="U221" s="221"/>
      <c r="V221" s="221"/>
      <c r="W221" s="221"/>
      <c r="X221" s="221"/>
      <c r="Y221" s="221"/>
      <c r="Z221" s="221"/>
      <c r="AA221" s="221"/>
      <c r="AB221" s="221"/>
      <c r="AC221" s="221"/>
      <c r="AD221" s="223"/>
      <c r="AE221" s="83"/>
      <c r="AG221" s="70"/>
      <c r="AH221" s="83"/>
      <c r="AI221" s="82"/>
    </row>
    <row r="222" spans="1:35" ht="16" thickBot="1" x14ac:dyDescent="0.35">
      <c r="A222" s="66"/>
      <c r="B222" s="2102" t="s">
        <v>172</v>
      </c>
      <c r="C222" s="2102"/>
      <c r="D222" s="2102"/>
      <c r="E222" s="2102"/>
      <c r="F222" s="2102"/>
      <c r="G222" s="2102"/>
      <c r="H222" s="2102"/>
      <c r="I222" s="2102"/>
      <c r="J222" s="2102"/>
      <c r="K222" s="2102"/>
      <c r="L222" s="2102"/>
      <c r="M222" s="2102"/>
      <c r="N222" s="221"/>
      <c r="O222" s="221"/>
      <c r="P222" s="221"/>
      <c r="Q222" s="221"/>
      <c r="R222" s="221"/>
      <c r="S222" s="221"/>
      <c r="T222" s="221"/>
      <c r="U222" s="221"/>
      <c r="V222" s="221"/>
      <c r="W222" s="221"/>
      <c r="X222" s="221"/>
      <c r="Y222" s="221"/>
      <c r="Z222" s="221"/>
      <c r="AA222" s="221"/>
      <c r="AB222" s="221"/>
      <c r="AC222" s="221"/>
      <c r="AD222" s="223"/>
      <c r="AE222" s="83"/>
      <c r="AG222" s="70"/>
      <c r="AH222" s="83"/>
      <c r="AI222" s="82"/>
    </row>
    <row r="223" spans="1:35" ht="16.5" thickTop="1" thickBot="1" x14ac:dyDescent="0.4">
      <c r="A223" s="66"/>
      <c r="B223" s="1671" t="str">
        <f>$B$69</f>
        <v>31 Desember 2019</v>
      </c>
      <c r="C223" s="1671"/>
      <c r="D223" s="1671"/>
      <c r="E223" s="1671"/>
      <c r="F223" s="1671"/>
      <c r="G223" s="1671"/>
      <c r="H223" s="1671"/>
      <c r="I223" s="230"/>
      <c r="J223" s="1672" t="str">
        <f>$J$69</f>
        <v>31 Desember 2018</v>
      </c>
      <c r="K223" s="1671"/>
      <c r="L223" s="1671"/>
      <c r="M223" s="1671"/>
      <c r="N223" s="221"/>
      <c r="O223" s="221"/>
      <c r="P223" s="1797" t="s">
        <v>1158</v>
      </c>
      <c r="Q223" s="1797"/>
      <c r="R223" s="1797"/>
      <c r="S223" s="1797"/>
      <c r="T223" s="1797"/>
      <c r="U223" s="1797"/>
      <c r="V223" s="1797"/>
      <c r="W223" s="1797"/>
      <c r="X223" s="1797"/>
      <c r="Y223" s="1797"/>
      <c r="Z223" s="1797"/>
      <c r="AA223" s="1797"/>
      <c r="AB223" s="1797"/>
      <c r="AC223" s="221"/>
      <c r="AD223" s="223"/>
      <c r="AE223" s="83"/>
      <c r="AG223" s="70"/>
      <c r="AH223" s="83"/>
      <c r="AI223" s="82"/>
    </row>
    <row r="224" spans="1:35" ht="31.5" customHeight="1" thickTop="1" thickBot="1" x14ac:dyDescent="0.35">
      <c r="A224" s="66"/>
      <c r="B224" s="1668" t="s">
        <v>232</v>
      </c>
      <c r="C224" s="1669"/>
      <c r="D224" s="1669"/>
      <c r="E224" s="1669"/>
      <c r="F224" s="1669"/>
      <c r="G224" s="1669"/>
      <c r="H224" s="1669"/>
      <c r="I224" s="1669"/>
      <c r="J224" s="1669"/>
      <c r="K224" s="1669"/>
      <c r="L224" s="1669"/>
      <c r="M224" s="1670"/>
      <c r="N224" s="221"/>
      <c r="O224" s="221"/>
      <c r="P224" s="1901" t="s">
        <v>1125</v>
      </c>
      <c r="Q224" s="1901"/>
      <c r="R224" s="1901"/>
      <c r="S224" s="1901"/>
      <c r="T224" s="1901"/>
      <c r="U224" s="1901"/>
      <c r="V224" s="1901"/>
      <c r="W224" s="1714" t="str">
        <f>""&amp;$L$24&amp;" (Rp)"</f>
        <v>TA 2019 (Rp)</v>
      </c>
      <c r="X224" s="1714"/>
      <c r="Y224" s="1714"/>
      <c r="Z224" s="1714" t="str">
        <f>""&amp;$L$25&amp;" (Rp)"</f>
        <v>TA 2018 (Rp)</v>
      </c>
      <c r="AA224" s="1714"/>
      <c r="AB224" s="1714"/>
      <c r="AC224" s="221"/>
      <c r="AD224" s="82"/>
      <c r="AE224" s="83"/>
      <c r="AG224" s="70"/>
      <c r="AH224" s="83"/>
      <c r="AI224" s="82"/>
    </row>
    <row r="225" spans="1:35" ht="16" thickTop="1" x14ac:dyDescent="0.35">
      <c r="A225" s="66"/>
      <c r="B225" s="1710"/>
      <c r="C225" s="1601"/>
      <c r="D225" s="1584" t="s">
        <v>46</v>
      </c>
      <c r="E225" s="1713"/>
      <c r="F225" s="1585"/>
      <c r="G225" s="1189" t="s">
        <v>175</v>
      </c>
      <c r="H225" s="1190" t="s">
        <v>183</v>
      </c>
      <c r="I225" s="1191"/>
      <c r="J225" s="1584" t="s">
        <v>46</v>
      </c>
      <c r="K225" s="1585"/>
      <c r="L225" s="1189" t="s">
        <v>175</v>
      </c>
      <c r="M225" s="1192" t="s">
        <v>183</v>
      </c>
      <c r="N225" s="221"/>
      <c r="O225" s="222"/>
      <c r="P225" s="1895" t="s">
        <v>128</v>
      </c>
      <c r="Q225" s="1896"/>
      <c r="R225" s="1896"/>
      <c r="S225" s="1896"/>
      <c r="T225" s="1896"/>
      <c r="U225" s="1896"/>
      <c r="V225" s="1897"/>
      <c r="W225" s="1721">
        <f>$D$235</f>
        <v>677709695</v>
      </c>
      <c r="X225" s="1721"/>
      <c r="Y225" s="1721"/>
      <c r="Z225" s="1721">
        <f>$J$235</f>
        <v>627651300</v>
      </c>
      <c r="AA225" s="1721"/>
      <c r="AB225" s="1721"/>
      <c r="AC225" s="221"/>
      <c r="AD225" s="82"/>
      <c r="AE225" s="83"/>
      <c r="AG225" s="70"/>
      <c r="AH225" s="83"/>
      <c r="AI225" s="82"/>
    </row>
    <row r="226" spans="1:35" ht="15.5" x14ac:dyDescent="0.35">
      <c r="A226" s="66"/>
      <c r="B226" s="1711" t="s">
        <v>1627</v>
      </c>
      <c r="C226" s="1712"/>
      <c r="D226" s="1586">
        <v>498112695</v>
      </c>
      <c r="E226" s="1587"/>
      <c r="F226" s="1588"/>
      <c r="G226" s="1202"/>
      <c r="H226" s="1194">
        <f>D226-G226</f>
        <v>498112695</v>
      </c>
      <c r="I226" s="1195"/>
      <c r="J226" s="1659">
        <v>415991600</v>
      </c>
      <c r="K226" s="1660"/>
      <c r="L226" s="1196"/>
      <c r="M226" s="1197">
        <f>J226-L226</f>
        <v>415991600</v>
      </c>
      <c r="N226" s="221"/>
      <c r="O226" s="222"/>
      <c r="P226" s="1717" t="s">
        <v>129</v>
      </c>
      <c r="Q226" s="1718"/>
      <c r="R226" s="1718"/>
      <c r="S226" s="1718"/>
      <c r="T226" s="1718"/>
      <c r="U226" s="1718"/>
      <c r="V226" s="1719"/>
      <c r="W226" s="1716">
        <f>$D$249</f>
        <v>1172315300</v>
      </c>
      <c r="X226" s="1716"/>
      <c r="Y226" s="1716"/>
      <c r="Z226" s="1716">
        <f>$J$249</f>
        <v>1624625000</v>
      </c>
      <c r="AA226" s="1716"/>
      <c r="AB226" s="1716"/>
      <c r="AC226" s="221"/>
      <c r="AD226" s="82"/>
      <c r="AE226" s="83"/>
      <c r="AF226" s="2103">
        <v>521111</v>
      </c>
      <c r="AG226" s="2103"/>
      <c r="AH226" s="83"/>
      <c r="AI226" s="82"/>
    </row>
    <row r="227" spans="1:35" ht="15.5" x14ac:dyDescent="0.35">
      <c r="A227" s="66"/>
      <c r="B227" s="1711" t="s">
        <v>1628</v>
      </c>
      <c r="C227" s="1712"/>
      <c r="D227" s="1586"/>
      <c r="E227" s="1587"/>
      <c r="F227" s="1588"/>
      <c r="G227" s="1206"/>
      <c r="H227" s="1194">
        <f t="shared" ref="H227:H234" si="16">D227-G227</f>
        <v>0</v>
      </c>
      <c r="I227" s="1195"/>
      <c r="J227" s="1659"/>
      <c r="K227" s="1660"/>
      <c r="L227" s="1196"/>
      <c r="M227" s="1197">
        <f>J227-L227</f>
        <v>0</v>
      </c>
      <c r="N227" s="221"/>
      <c r="O227" s="222"/>
      <c r="P227" s="1717" t="s">
        <v>1103</v>
      </c>
      <c r="Q227" s="1718"/>
      <c r="R227" s="1718"/>
      <c r="S227" s="1718"/>
      <c r="T227" s="1718"/>
      <c r="U227" s="1718"/>
      <c r="V227" s="1719"/>
      <c r="W227" s="1716">
        <f>$D$256</f>
        <v>0</v>
      </c>
      <c r="X227" s="1716"/>
      <c r="Y227" s="1716"/>
      <c r="Z227" s="1716">
        <f>$J$256</f>
        <v>0</v>
      </c>
      <c r="AA227" s="1716"/>
      <c r="AB227" s="1716"/>
      <c r="AC227" s="221"/>
      <c r="AD227" s="82"/>
      <c r="AE227" s="83"/>
      <c r="AF227" s="2103">
        <v>521112</v>
      </c>
      <c r="AG227" s="2103"/>
      <c r="AH227" s="83"/>
      <c r="AI227" s="82"/>
    </row>
    <row r="228" spans="1:35" ht="15.5" x14ac:dyDescent="0.35">
      <c r="A228" s="66"/>
      <c r="B228" s="1711" t="s">
        <v>1629</v>
      </c>
      <c r="C228" s="1712"/>
      <c r="D228" s="1586"/>
      <c r="E228" s="1587"/>
      <c r="F228" s="1588"/>
      <c r="G228" s="1206"/>
      <c r="H228" s="1194">
        <f t="shared" si="16"/>
        <v>0</v>
      </c>
      <c r="I228" s="1195"/>
      <c r="J228" s="1659"/>
      <c r="K228" s="1660"/>
      <c r="L228" s="1196"/>
      <c r="M228" s="1197">
        <f t="shared" ref="M228:M234" si="17">J228-L228</f>
        <v>0</v>
      </c>
      <c r="N228" s="221"/>
      <c r="O228" s="222"/>
      <c r="P228" s="1717" t="s">
        <v>1104</v>
      </c>
      <c r="Q228" s="1718"/>
      <c r="R228" s="1718"/>
      <c r="S228" s="1718"/>
      <c r="T228" s="1718"/>
      <c r="U228" s="1718"/>
      <c r="V228" s="1719"/>
      <c r="W228" s="1716">
        <f>$D$263</f>
        <v>0</v>
      </c>
      <c r="X228" s="1716"/>
      <c r="Y228" s="1716"/>
      <c r="Z228" s="1716">
        <f>$J$263</f>
        <v>0</v>
      </c>
      <c r="AA228" s="1716"/>
      <c r="AB228" s="1716"/>
      <c r="AC228" s="221"/>
      <c r="AD228" s="82"/>
      <c r="AE228" s="83"/>
      <c r="AF228" s="2103">
        <v>521113</v>
      </c>
      <c r="AG228" s="2103"/>
      <c r="AH228" s="83"/>
      <c r="AI228" s="82"/>
    </row>
    <row r="229" spans="1:35" ht="15.5" x14ac:dyDescent="0.35">
      <c r="A229" s="66"/>
      <c r="B229" s="1711" t="s">
        <v>1630</v>
      </c>
      <c r="C229" s="1712"/>
      <c r="D229" s="1586">
        <v>5107000</v>
      </c>
      <c r="E229" s="1587"/>
      <c r="F229" s="1588"/>
      <c r="G229" s="1206"/>
      <c r="H229" s="1194">
        <f t="shared" si="16"/>
        <v>5107000</v>
      </c>
      <c r="I229" s="1195"/>
      <c r="J229" s="1659">
        <v>3690700</v>
      </c>
      <c r="K229" s="1660"/>
      <c r="L229" s="1196"/>
      <c r="M229" s="1197">
        <f t="shared" si="17"/>
        <v>3690700</v>
      </c>
      <c r="N229" s="221"/>
      <c r="O229" s="222"/>
      <c r="P229" s="1717" t="s">
        <v>130</v>
      </c>
      <c r="Q229" s="1718"/>
      <c r="R229" s="1718"/>
      <c r="S229" s="1718"/>
      <c r="T229" s="1718"/>
      <c r="U229" s="1718"/>
      <c r="V229" s="1719"/>
      <c r="W229" s="1716">
        <f>$D$319</f>
        <v>782659600</v>
      </c>
      <c r="X229" s="1716"/>
      <c r="Y229" s="1716"/>
      <c r="Z229" s="1716">
        <f>$J$319</f>
        <v>691962300</v>
      </c>
      <c r="AA229" s="1716"/>
      <c r="AB229" s="1716"/>
      <c r="AC229" s="221"/>
      <c r="AD229" s="82"/>
      <c r="AE229" s="83"/>
      <c r="AF229" s="2103">
        <v>521114</v>
      </c>
      <c r="AG229" s="2103"/>
      <c r="AH229" s="83"/>
      <c r="AI229" s="82"/>
    </row>
    <row r="230" spans="1:35" ht="15.5" x14ac:dyDescent="0.35">
      <c r="A230" s="66"/>
      <c r="B230" s="1711" t="s">
        <v>1631</v>
      </c>
      <c r="C230" s="1712"/>
      <c r="D230" s="1586">
        <v>155120000</v>
      </c>
      <c r="E230" s="1587"/>
      <c r="F230" s="1588"/>
      <c r="G230" s="1206"/>
      <c r="H230" s="1194">
        <f t="shared" si="16"/>
        <v>155120000</v>
      </c>
      <c r="I230" s="1195"/>
      <c r="J230" s="1659">
        <v>164240000</v>
      </c>
      <c r="K230" s="1660"/>
      <c r="L230" s="1206">
        <v>8560000</v>
      </c>
      <c r="M230" s="1197">
        <f t="shared" si="17"/>
        <v>155680000</v>
      </c>
      <c r="N230" s="221"/>
      <c r="O230" s="222"/>
      <c r="P230" s="1717" t="s">
        <v>119</v>
      </c>
      <c r="Q230" s="1718"/>
      <c r="R230" s="1718"/>
      <c r="S230" s="1718"/>
      <c r="T230" s="1718"/>
      <c r="U230" s="1718"/>
      <c r="V230" s="1719"/>
      <c r="W230" s="1716">
        <f>$D$340</f>
        <v>625913650</v>
      </c>
      <c r="X230" s="1716"/>
      <c r="Y230" s="1716"/>
      <c r="Z230" s="1716">
        <f>$J$340</f>
        <v>722817400</v>
      </c>
      <c r="AA230" s="1716"/>
      <c r="AB230" s="1716"/>
      <c r="AC230" s="221"/>
      <c r="AD230" s="82"/>
      <c r="AE230" s="83"/>
      <c r="AF230" s="2103">
        <v>521115</v>
      </c>
      <c r="AG230" s="2103"/>
      <c r="AH230" s="83"/>
      <c r="AI230" s="82"/>
    </row>
    <row r="231" spans="1:35" ht="15.5" x14ac:dyDescent="0.35">
      <c r="A231" s="66"/>
      <c r="B231" s="1711" t="s">
        <v>1632</v>
      </c>
      <c r="C231" s="1712"/>
      <c r="D231" s="1586"/>
      <c r="E231" s="1587"/>
      <c r="F231" s="1588"/>
      <c r="G231" s="1206"/>
      <c r="H231" s="1194">
        <f>D231-G231</f>
        <v>0</v>
      </c>
      <c r="I231" s="1195"/>
      <c r="J231" s="1659"/>
      <c r="K231" s="1660"/>
      <c r="L231" s="1196"/>
      <c r="M231" s="1197">
        <f t="shared" si="17"/>
        <v>0</v>
      </c>
      <c r="N231" s="221"/>
      <c r="O231" s="222"/>
      <c r="P231" s="1717" t="s">
        <v>2054</v>
      </c>
      <c r="Q231" s="1718"/>
      <c r="R231" s="1718"/>
      <c r="S231" s="1718"/>
      <c r="T231" s="1718"/>
      <c r="U231" s="1718"/>
      <c r="V231" s="1719"/>
      <c r="W231" s="1716">
        <f>$D$302</f>
        <v>411140900</v>
      </c>
      <c r="X231" s="1716"/>
      <c r="Y231" s="1716"/>
      <c r="Z231" s="1716">
        <f>$J$302</f>
        <v>44676900</v>
      </c>
      <c r="AA231" s="1716"/>
      <c r="AB231" s="1716"/>
      <c r="AC231" s="221"/>
      <c r="AD231" s="82"/>
      <c r="AE231" s="83"/>
      <c r="AF231" s="341"/>
      <c r="AG231" s="341"/>
      <c r="AH231" s="83"/>
      <c r="AI231" s="82"/>
    </row>
    <row r="232" spans="1:35" ht="15.5" x14ac:dyDescent="0.35">
      <c r="A232" s="66"/>
      <c r="B232" s="1711" t="s">
        <v>1633</v>
      </c>
      <c r="C232" s="1712"/>
      <c r="D232" s="1586">
        <v>19370000</v>
      </c>
      <c r="E232" s="1587"/>
      <c r="F232" s="1588"/>
      <c r="G232" s="1206"/>
      <c r="H232" s="1194">
        <f t="shared" si="16"/>
        <v>19370000</v>
      </c>
      <c r="I232" s="1195"/>
      <c r="J232" s="1659">
        <v>43729000</v>
      </c>
      <c r="K232" s="1660"/>
      <c r="L232" s="1196"/>
      <c r="M232" s="1197">
        <f t="shared" si="17"/>
        <v>43729000</v>
      </c>
      <c r="N232" s="221"/>
      <c r="O232" s="222"/>
      <c r="P232" s="1717" t="s">
        <v>120</v>
      </c>
      <c r="Q232" s="1718"/>
      <c r="R232" s="1718"/>
      <c r="S232" s="1718"/>
      <c r="T232" s="1718"/>
      <c r="U232" s="1718"/>
      <c r="V232" s="1719"/>
      <c r="W232" s="1716">
        <f>$D$354</f>
        <v>2755409250</v>
      </c>
      <c r="X232" s="1716"/>
      <c r="Y232" s="1716"/>
      <c r="Z232" s="1716">
        <f>$J$354</f>
        <v>2786385900</v>
      </c>
      <c r="AA232" s="1716"/>
      <c r="AB232" s="1716"/>
      <c r="AC232" s="221"/>
      <c r="AD232" s="82"/>
      <c r="AE232" s="83"/>
      <c r="AF232" s="2103">
        <v>521119</v>
      </c>
      <c r="AG232" s="2103"/>
      <c r="AH232" s="83"/>
      <c r="AI232" s="82"/>
    </row>
    <row r="233" spans="1:35" ht="15.5" x14ac:dyDescent="0.35">
      <c r="A233" s="66"/>
      <c r="B233" s="1673"/>
      <c r="C233" s="1674"/>
      <c r="D233" s="1586"/>
      <c r="E233" s="1587"/>
      <c r="F233" s="1588"/>
      <c r="G233" s="1206"/>
      <c r="H233" s="1194">
        <f t="shared" si="16"/>
        <v>0</v>
      </c>
      <c r="I233" s="1195"/>
      <c r="J233" s="1659"/>
      <c r="K233" s="1660"/>
      <c r="L233" s="1196"/>
      <c r="M233" s="1197">
        <f t="shared" si="17"/>
        <v>0</v>
      </c>
      <c r="N233" s="221"/>
      <c r="O233" s="222"/>
      <c r="P233" s="1717" t="s">
        <v>1105</v>
      </c>
      <c r="Q233" s="1718"/>
      <c r="R233" s="1718"/>
      <c r="S233" s="1718"/>
      <c r="T233" s="1718"/>
      <c r="U233" s="1718"/>
      <c r="V233" s="1719"/>
      <c r="W233" s="1716">
        <f>$D$366</f>
        <v>0</v>
      </c>
      <c r="X233" s="1716"/>
      <c r="Y233" s="1716"/>
      <c r="Z233" s="1716">
        <f>$J$366</f>
        <v>0</v>
      </c>
      <c r="AA233" s="1716"/>
      <c r="AB233" s="1716"/>
      <c r="AC233" s="221"/>
      <c r="AD233" s="82"/>
      <c r="AE233" s="83"/>
      <c r="AG233" s="70"/>
      <c r="AH233" s="83"/>
      <c r="AI233" s="82"/>
    </row>
    <row r="234" spans="1:35" ht="16" thickBot="1" x14ac:dyDescent="0.4">
      <c r="A234" s="66"/>
      <c r="B234" s="1664"/>
      <c r="C234" s="1665"/>
      <c r="D234" s="1586"/>
      <c r="E234" s="1587"/>
      <c r="F234" s="1588"/>
      <c r="G234" s="1206"/>
      <c r="H234" s="1194">
        <f t="shared" si="16"/>
        <v>0</v>
      </c>
      <c r="I234" s="1195"/>
      <c r="J234" s="1659"/>
      <c r="K234" s="1660"/>
      <c r="L234" s="1196"/>
      <c r="M234" s="1197">
        <f t="shared" si="17"/>
        <v>0</v>
      </c>
      <c r="N234" s="221"/>
      <c r="O234" s="222"/>
      <c r="P234" s="1738" t="s">
        <v>1106</v>
      </c>
      <c r="Q234" s="1739"/>
      <c r="R234" s="1739"/>
      <c r="S234" s="1739"/>
      <c r="T234" s="1739"/>
      <c r="U234" s="1739"/>
      <c r="V234" s="1740"/>
      <c r="W234" s="1741">
        <f>$D$381</f>
        <v>220000000</v>
      </c>
      <c r="X234" s="1741"/>
      <c r="Y234" s="1741"/>
      <c r="Z234" s="1741">
        <f>$J$381</f>
        <v>230190000</v>
      </c>
      <c r="AA234" s="1741"/>
      <c r="AB234" s="1741"/>
      <c r="AC234" s="221"/>
      <c r="AD234" s="82"/>
      <c r="AE234" s="83"/>
      <c r="AG234" s="70"/>
      <c r="AH234" s="83"/>
      <c r="AI234" s="82"/>
    </row>
    <row r="235" spans="1:35" ht="16.5" thickTop="1" thickBot="1" x14ac:dyDescent="0.35">
      <c r="A235" s="66"/>
      <c r="B235" s="1214" t="s">
        <v>116</v>
      </c>
      <c r="C235" s="1215"/>
      <c r="D235" s="1591">
        <f>SUM(D226:F234)</f>
        <v>677709695</v>
      </c>
      <c r="E235" s="1592"/>
      <c r="F235" s="1593"/>
      <c r="G235" s="1185">
        <f>SUM(G226:G234)</f>
        <v>0</v>
      </c>
      <c r="H235" s="1186">
        <f>SUM(H226:H234)</f>
        <v>677709695</v>
      </c>
      <c r="I235" s="1187"/>
      <c r="J235" s="1666">
        <f>SUM(J226:K234)</f>
        <v>627651300</v>
      </c>
      <c r="K235" s="1667"/>
      <c r="L235" s="1188">
        <f>SUM(L226:L234)</f>
        <v>8560000</v>
      </c>
      <c r="M235" s="1188">
        <f>SUM(M226:M234)</f>
        <v>619091300</v>
      </c>
      <c r="N235" s="221"/>
      <c r="O235" s="221"/>
      <c r="P235" s="1737" t="s">
        <v>1108</v>
      </c>
      <c r="Q235" s="1737"/>
      <c r="R235" s="1737"/>
      <c r="S235" s="1737"/>
      <c r="T235" s="1737"/>
      <c r="U235" s="1737"/>
      <c r="V235" s="1737"/>
      <c r="W235" s="1733">
        <f>SUM(W225:Y234)</f>
        <v>6645148395</v>
      </c>
      <c r="X235" s="1733"/>
      <c r="Y235" s="1733"/>
      <c r="Z235" s="1733">
        <f>SUM(Z225:AB234)</f>
        <v>6728308800</v>
      </c>
      <c r="AA235" s="1733"/>
      <c r="AB235" s="1733"/>
      <c r="AC235" s="221"/>
      <c r="AD235" s="82"/>
      <c r="AE235" s="83"/>
      <c r="AG235" s="70"/>
      <c r="AH235" s="83"/>
      <c r="AI235" s="82"/>
    </row>
    <row r="236" spans="1:35" ht="16.5" thickTop="1" thickBot="1" x14ac:dyDescent="0.4">
      <c r="A236" s="66"/>
      <c r="B236" s="1671" t="str">
        <f>$B$69</f>
        <v>31 Desember 2019</v>
      </c>
      <c r="C236" s="1671"/>
      <c r="D236" s="1671"/>
      <c r="E236" s="1671"/>
      <c r="F236" s="1671"/>
      <c r="G236" s="1671"/>
      <c r="H236" s="1671"/>
      <c r="I236" s="230"/>
      <c r="J236" s="1672" t="str">
        <f>$J$69</f>
        <v>31 Desember 2018</v>
      </c>
      <c r="K236" s="1671"/>
      <c r="L236" s="1671"/>
      <c r="M236" s="1671"/>
      <c r="N236" s="221"/>
      <c r="O236" s="222"/>
      <c r="P236" s="1737" t="s">
        <v>118</v>
      </c>
      <c r="Q236" s="1737"/>
      <c r="R236" s="1737"/>
      <c r="S236" s="1737"/>
      <c r="T236" s="1737"/>
      <c r="U236" s="1737"/>
      <c r="V236" s="1737"/>
      <c r="W236" s="1733">
        <f>$G$235+$G$249+$G$256+$G$263+$G$319+$G$340+$G$354+$G$366+$G$381</f>
        <v>0</v>
      </c>
      <c r="X236" s="1733"/>
      <c r="Y236" s="1733"/>
      <c r="Z236" s="1733"/>
      <c r="AA236" s="1733"/>
      <c r="AB236" s="1733"/>
      <c r="AC236" s="221"/>
      <c r="AD236" s="82"/>
      <c r="AE236" s="83"/>
      <c r="AG236" s="70"/>
      <c r="AH236" s="83"/>
      <c r="AI236" s="82"/>
    </row>
    <row r="237" spans="1:35" ht="20.5" thickTop="1" x14ac:dyDescent="0.3">
      <c r="A237" s="66"/>
      <c r="B237" s="1668" t="s">
        <v>233</v>
      </c>
      <c r="C237" s="1669"/>
      <c r="D237" s="1669"/>
      <c r="E237" s="1669"/>
      <c r="F237" s="1669"/>
      <c r="G237" s="1669"/>
      <c r="H237" s="1669"/>
      <c r="I237" s="1669"/>
      <c r="J237" s="1669"/>
      <c r="K237" s="1669"/>
      <c r="L237" s="1669"/>
      <c r="M237" s="1670"/>
      <c r="N237" s="221"/>
      <c r="O237" s="221"/>
      <c r="P237" s="1732" t="s">
        <v>1109</v>
      </c>
      <c r="Q237" s="1732"/>
      <c r="R237" s="1732"/>
      <c r="S237" s="1732"/>
      <c r="T237" s="1732"/>
      <c r="U237" s="1732"/>
      <c r="V237" s="1732"/>
      <c r="W237" s="1715">
        <f>W235-W236</f>
        <v>6645148395</v>
      </c>
      <c r="X237" s="1715"/>
      <c r="Y237" s="1715"/>
      <c r="Z237" s="1715">
        <f>Z235-Z236</f>
        <v>6728308800</v>
      </c>
      <c r="AA237" s="1715"/>
      <c r="AB237" s="1715"/>
      <c r="AC237" s="221"/>
      <c r="AD237" s="82"/>
      <c r="AE237" s="83"/>
      <c r="AG237" s="70"/>
      <c r="AH237" s="83"/>
      <c r="AI237" s="82"/>
    </row>
    <row r="238" spans="1:35" ht="15.5" x14ac:dyDescent="0.3">
      <c r="A238" s="66"/>
      <c r="B238" s="1710"/>
      <c r="C238" s="1601"/>
      <c r="D238" s="1584" t="s">
        <v>46</v>
      </c>
      <c r="E238" s="1713"/>
      <c r="F238" s="1585"/>
      <c r="G238" s="1189" t="s">
        <v>175</v>
      </c>
      <c r="H238" s="1190" t="s">
        <v>183</v>
      </c>
      <c r="I238" s="1216"/>
      <c r="J238" s="1584" t="s">
        <v>46</v>
      </c>
      <c r="K238" s="1585"/>
      <c r="L238" s="1189" t="s">
        <v>175</v>
      </c>
      <c r="M238" s="1192" t="s">
        <v>183</v>
      </c>
      <c r="N238" s="221"/>
      <c r="O238" s="221"/>
      <c r="P238" s="221"/>
      <c r="Q238" s="221"/>
      <c r="R238" s="221"/>
      <c r="S238" s="221"/>
      <c r="T238" s="221"/>
      <c r="U238" s="221"/>
      <c r="V238" s="221"/>
      <c r="W238" s="221"/>
      <c r="X238" s="1443"/>
      <c r="Y238" s="221"/>
      <c r="Z238" s="221"/>
      <c r="AA238" s="221"/>
      <c r="AB238" s="221"/>
      <c r="AC238" s="221"/>
      <c r="AD238" s="82"/>
      <c r="AE238" s="83"/>
      <c r="AG238" s="70"/>
      <c r="AH238" s="83"/>
      <c r="AI238" s="82"/>
    </row>
    <row r="239" spans="1:35" x14ac:dyDescent="0.3">
      <c r="A239" s="66"/>
      <c r="B239" s="1711" t="s">
        <v>1635</v>
      </c>
      <c r="C239" s="1712"/>
      <c r="D239" s="1586">
        <v>460450300</v>
      </c>
      <c r="E239" s="1587"/>
      <c r="F239" s="1588"/>
      <c r="G239" s="1202"/>
      <c r="H239" s="1194">
        <f>D239-G239</f>
        <v>460450300</v>
      </c>
      <c r="I239" s="1195"/>
      <c r="J239" s="1659">
        <v>550305000</v>
      </c>
      <c r="K239" s="1660"/>
      <c r="L239" s="1196"/>
      <c r="M239" s="1197">
        <f>J239-L239</f>
        <v>550305000</v>
      </c>
      <c r="N239" s="221"/>
      <c r="O239" s="221"/>
      <c r="P239" s="221"/>
      <c r="Q239" s="221"/>
      <c r="R239" s="221"/>
      <c r="S239" s="221"/>
      <c r="T239" s="221"/>
      <c r="U239" s="221"/>
      <c r="V239" s="221"/>
      <c r="W239" s="221"/>
      <c r="X239" s="1720"/>
      <c r="Y239" s="1720"/>
      <c r="Z239" s="221"/>
      <c r="AA239" s="221"/>
      <c r="AB239" s="221"/>
      <c r="AC239" s="221"/>
      <c r="AD239" s="82"/>
      <c r="AE239" s="83"/>
      <c r="AF239" s="2103">
        <v>521211</v>
      </c>
      <c r="AG239" s="2103"/>
      <c r="AH239" s="83"/>
      <c r="AI239" s="82"/>
    </row>
    <row r="240" spans="1:35" x14ac:dyDescent="0.3">
      <c r="A240" s="66"/>
      <c r="B240" s="1711" t="s">
        <v>1636</v>
      </c>
      <c r="C240" s="1712"/>
      <c r="D240" s="1586"/>
      <c r="E240" s="1587"/>
      <c r="F240" s="1588"/>
      <c r="G240" s="1206"/>
      <c r="H240" s="1194">
        <f>D240-G240</f>
        <v>0</v>
      </c>
      <c r="I240" s="1195"/>
      <c r="J240" s="1659"/>
      <c r="K240" s="1660"/>
      <c r="L240" s="1196"/>
      <c r="M240" s="1197">
        <f t="shared" ref="M240:M248" si="18">J240-L240</f>
        <v>0</v>
      </c>
      <c r="N240" s="221"/>
      <c r="O240" s="221"/>
      <c r="P240" s="221"/>
      <c r="Q240" s="221"/>
      <c r="R240" s="221"/>
      <c r="S240" s="221"/>
      <c r="T240" s="221"/>
      <c r="U240" s="221"/>
      <c r="V240" s="221"/>
      <c r="W240" s="221"/>
      <c r="X240" s="221"/>
      <c r="Y240" s="221"/>
      <c r="Z240" s="221"/>
      <c r="AA240" s="221"/>
      <c r="AB240" s="221"/>
      <c r="AC240" s="221"/>
      <c r="AD240" s="82"/>
      <c r="AE240" s="83"/>
      <c r="AF240" s="2103">
        <v>521212</v>
      </c>
      <c r="AG240" s="2103"/>
      <c r="AH240" s="83"/>
      <c r="AI240" s="82"/>
    </row>
    <row r="241" spans="1:35" x14ac:dyDescent="0.3">
      <c r="A241" s="66"/>
      <c r="B241" s="1711" t="s">
        <v>1637</v>
      </c>
      <c r="C241" s="1712"/>
      <c r="D241" s="1586">
        <v>13340000</v>
      </c>
      <c r="E241" s="1587"/>
      <c r="F241" s="1588"/>
      <c r="G241" s="1206"/>
      <c r="H241" s="1194">
        <f t="shared" ref="H241:H248" si="19">D241-G241</f>
        <v>13340000</v>
      </c>
      <c r="I241" s="1195"/>
      <c r="J241" s="1659">
        <v>6670000</v>
      </c>
      <c r="K241" s="1660"/>
      <c r="L241" s="1196"/>
      <c r="M241" s="1197">
        <f t="shared" si="18"/>
        <v>6670000</v>
      </c>
      <c r="N241" s="221"/>
      <c r="O241" s="221"/>
      <c r="P241" s="221"/>
      <c r="Q241" s="221"/>
      <c r="R241" s="221"/>
      <c r="S241" s="221"/>
      <c r="T241" s="221"/>
      <c r="U241" s="221"/>
      <c r="V241" s="221"/>
      <c r="W241" s="221"/>
      <c r="X241" s="221"/>
      <c r="Y241" s="221"/>
      <c r="Z241" s="221"/>
      <c r="AA241" s="221"/>
      <c r="AB241" s="221"/>
      <c r="AC241" s="221"/>
      <c r="AD241" s="82"/>
      <c r="AE241" s="83"/>
      <c r="AF241" s="341"/>
      <c r="AG241" s="341"/>
      <c r="AH241" s="83"/>
      <c r="AI241" s="82"/>
    </row>
    <row r="242" spans="1:35" x14ac:dyDescent="0.3">
      <c r="A242" s="66"/>
      <c r="B242" s="1711" t="s">
        <v>1638</v>
      </c>
      <c r="C242" s="1712"/>
      <c r="D242" s="1586"/>
      <c r="E242" s="1587"/>
      <c r="F242" s="1588"/>
      <c r="G242" s="1206"/>
      <c r="H242" s="1194">
        <f t="shared" si="19"/>
        <v>0</v>
      </c>
      <c r="I242" s="1195"/>
      <c r="J242" s="1659"/>
      <c r="K242" s="1660"/>
      <c r="L242" s="1196"/>
      <c r="M242" s="1197">
        <f t="shared" si="18"/>
        <v>0</v>
      </c>
      <c r="N242" s="221"/>
      <c r="O242" s="221"/>
      <c r="P242" s="221"/>
      <c r="Q242" s="221"/>
      <c r="R242" s="221"/>
      <c r="S242" s="221"/>
      <c r="T242" s="221"/>
      <c r="U242" s="221"/>
      <c r="V242" s="221"/>
      <c r="W242" s="221"/>
      <c r="X242" s="221"/>
      <c r="Y242" s="221"/>
      <c r="Z242" s="221"/>
      <c r="AA242" s="221"/>
      <c r="AB242" s="221"/>
      <c r="AC242" s="221"/>
      <c r="AD242" s="82"/>
      <c r="AE242" s="83"/>
      <c r="AF242" s="341"/>
      <c r="AG242" s="341"/>
      <c r="AH242" s="83"/>
      <c r="AI242" s="82"/>
    </row>
    <row r="243" spans="1:35" x14ac:dyDescent="0.3">
      <c r="A243" s="66"/>
      <c r="B243" s="1711" t="s">
        <v>1639</v>
      </c>
      <c r="C243" s="1712"/>
      <c r="D243" s="1586"/>
      <c r="E243" s="1587"/>
      <c r="F243" s="1588"/>
      <c r="G243" s="1206"/>
      <c r="H243" s="1194">
        <f t="shared" si="19"/>
        <v>0</v>
      </c>
      <c r="I243" s="1195"/>
      <c r="J243" s="1659"/>
      <c r="K243" s="1660"/>
      <c r="L243" s="1196"/>
      <c r="M243" s="1197">
        <f t="shared" si="18"/>
        <v>0</v>
      </c>
      <c r="N243" s="221"/>
      <c r="O243" s="221"/>
      <c r="P243" s="221"/>
      <c r="Q243" s="221"/>
      <c r="R243" s="221"/>
      <c r="S243" s="221"/>
      <c r="T243" s="221"/>
      <c r="U243" s="221"/>
      <c r="V243" s="221"/>
      <c r="W243" s="221"/>
      <c r="X243" s="221"/>
      <c r="Y243" s="221"/>
      <c r="Z243" s="221"/>
      <c r="AA243" s="221"/>
      <c r="AB243" s="221"/>
      <c r="AC243" s="221"/>
      <c r="AD243" s="82"/>
      <c r="AE243" s="83"/>
      <c r="AF243" s="341"/>
      <c r="AG243" s="341"/>
      <c r="AH243" s="83"/>
      <c r="AI243" s="82"/>
    </row>
    <row r="244" spans="1:35" x14ac:dyDescent="0.3">
      <c r="A244" s="66"/>
      <c r="B244" s="1711" t="s">
        <v>1640</v>
      </c>
      <c r="C244" s="1712"/>
      <c r="D244" s="1586"/>
      <c r="E244" s="1587"/>
      <c r="F244" s="1588"/>
      <c r="G244" s="1206"/>
      <c r="H244" s="1194">
        <f t="shared" si="19"/>
        <v>0</v>
      </c>
      <c r="I244" s="1195"/>
      <c r="J244" s="1659"/>
      <c r="K244" s="1660"/>
      <c r="L244" s="1196"/>
      <c r="M244" s="1197">
        <f t="shared" si="18"/>
        <v>0</v>
      </c>
      <c r="N244" s="221"/>
      <c r="O244" s="221"/>
      <c r="P244" s="221"/>
      <c r="Q244" s="221"/>
      <c r="R244" s="221"/>
      <c r="S244" s="221"/>
      <c r="T244" s="221"/>
      <c r="U244" s="221"/>
      <c r="V244" s="221"/>
      <c r="W244" s="221"/>
      <c r="X244" s="221"/>
      <c r="Y244" s="221"/>
      <c r="Z244" s="221"/>
      <c r="AA244" s="221"/>
      <c r="AB244" s="221"/>
      <c r="AC244" s="221"/>
      <c r="AD244" s="82"/>
      <c r="AE244" s="83"/>
      <c r="AF244" s="341"/>
      <c r="AG244" s="341"/>
      <c r="AH244" s="83"/>
      <c r="AI244" s="82"/>
    </row>
    <row r="245" spans="1:35" x14ac:dyDescent="0.3">
      <c r="A245" s="66"/>
      <c r="B245" s="1711" t="s">
        <v>1641</v>
      </c>
      <c r="C245" s="1712"/>
      <c r="D245" s="1586"/>
      <c r="E245" s="1587"/>
      <c r="F245" s="1588"/>
      <c r="G245" s="1206"/>
      <c r="H245" s="1194">
        <f t="shared" si="19"/>
        <v>0</v>
      </c>
      <c r="I245" s="1195"/>
      <c r="J245" s="1659"/>
      <c r="K245" s="1660"/>
      <c r="L245" s="1196"/>
      <c r="M245" s="1197">
        <f t="shared" si="18"/>
        <v>0</v>
      </c>
      <c r="N245" s="221"/>
      <c r="O245" s="221"/>
      <c r="P245" s="221"/>
      <c r="Q245" s="221"/>
      <c r="R245" s="221"/>
      <c r="S245" s="221"/>
      <c r="T245" s="221"/>
      <c r="U245" s="221"/>
      <c r="V245" s="221"/>
      <c r="W245" s="221"/>
      <c r="X245" s="221"/>
      <c r="Y245" s="221"/>
      <c r="Z245" s="221"/>
      <c r="AA245" s="221"/>
      <c r="AB245" s="221"/>
      <c r="AC245" s="221"/>
      <c r="AD245" s="82"/>
      <c r="AE245" s="83"/>
      <c r="AF245" s="341"/>
      <c r="AG245" s="341"/>
      <c r="AH245" s="83"/>
      <c r="AI245" s="82"/>
    </row>
    <row r="246" spans="1:35" x14ac:dyDescent="0.3">
      <c r="A246" s="66"/>
      <c r="B246" s="1711" t="s">
        <v>1642</v>
      </c>
      <c r="C246" s="1712"/>
      <c r="D246" s="1586">
        <v>698525000</v>
      </c>
      <c r="E246" s="1587"/>
      <c r="F246" s="1588"/>
      <c r="G246" s="1206"/>
      <c r="H246" s="1194">
        <f t="shared" si="19"/>
        <v>698525000</v>
      </c>
      <c r="I246" s="1195"/>
      <c r="J246" s="1659">
        <v>1067650000</v>
      </c>
      <c r="K246" s="1660"/>
      <c r="L246" s="1196"/>
      <c r="M246" s="1197">
        <f t="shared" si="18"/>
        <v>1067650000</v>
      </c>
      <c r="N246" s="221"/>
      <c r="O246" s="221"/>
      <c r="P246" s="221"/>
      <c r="Q246" s="221"/>
      <c r="R246" s="221"/>
      <c r="S246" s="221"/>
      <c r="T246" s="221"/>
      <c r="U246" s="221"/>
      <c r="V246" s="221"/>
      <c r="W246" s="221"/>
      <c r="X246" s="221"/>
      <c r="Y246" s="221"/>
      <c r="Z246" s="221"/>
      <c r="AA246" s="221"/>
      <c r="AB246" s="221"/>
      <c r="AC246" s="221"/>
      <c r="AD246" s="82"/>
      <c r="AE246" s="83"/>
      <c r="AF246" s="2103">
        <v>521213</v>
      </c>
      <c r="AG246" s="2103"/>
      <c r="AH246" s="83"/>
      <c r="AI246" s="82"/>
    </row>
    <row r="247" spans="1:35" ht="15.5" x14ac:dyDescent="0.3">
      <c r="A247" s="66"/>
      <c r="B247" s="1673"/>
      <c r="C247" s="1674"/>
      <c r="D247" s="1586"/>
      <c r="E247" s="1587"/>
      <c r="F247" s="1588"/>
      <c r="G247" s="1206"/>
      <c r="H247" s="1194">
        <f t="shared" si="19"/>
        <v>0</v>
      </c>
      <c r="I247" s="1195"/>
      <c r="J247" s="1659"/>
      <c r="K247" s="1660"/>
      <c r="L247" s="1196"/>
      <c r="M247" s="1197">
        <f t="shared" si="18"/>
        <v>0</v>
      </c>
      <c r="N247" s="221"/>
      <c r="O247" s="221"/>
      <c r="P247" s="221"/>
      <c r="Q247" s="221"/>
      <c r="R247" s="221"/>
      <c r="S247" s="221"/>
      <c r="T247" s="221"/>
      <c r="U247" s="221"/>
      <c r="V247" s="221"/>
      <c r="W247" s="221"/>
      <c r="X247" s="221"/>
      <c r="Y247" s="221"/>
      <c r="Z247" s="221"/>
      <c r="AA247" s="221"/>
      <c r="AB247" s="221"/>
      <c r="AC247" s="221"/>
      <c r="AD247" s="82"/>
      <c r="AE247" s="83"/>
      <c r="AG247" s="70"/>
      <c r="AH247" s="83"/>
      <c r="AI247" s="82"/>
    </row>
    <row r="248" spans="1:35" ht="15.5" x14ac:dyDescent="0.3">
      <c r="A248" s="66"/>
      <c r="B248" s="1673"/>
      <c r="C248" s="1674"/>
      <c r="D248" s="1586"/>
      <c r="E248" s="1587"/>
      <c r="F248" s="1588"/>
      <c r="G248" s="1206"/>
      <c r="H248" s="1194">
        <f t="shared" si="19"/>
        <v>0</v>
      </c>
      <c r="I248" s="1195"/>
      <c r="J248" s="1659"/>
      <c r="K248" s="1660"/>
      <c r="L248" s="1196"/>
      <c r="M248" s="1197">
        <f t="shared" si="18"/>
        <v>0</v>
      </c>
      <c r="N248" s="221"/>
      <c r="O248" s="221"/>
      <c r="P248" s="221"/>
      <c r="Q248" s="221"/>
      <c r="R248" s="221"/>
      <c r="S248" s="221"/>
      <c r="T248" s="221"/>
      <c r="U248" s="221"/>
      <c r="V248" s="221"/>
      <c r="W248" s="221"/>
      <c r="X248" s="221"/>
      <c r="Y248" s="221"/>
      <c r="Z248" s="221"/>
      <c r="AA248" s="221"/>
      <c r="AB248" s="221"/>
      <c r="AC248" s="221"/>
      <c r="AD248" s="82"/>
      <c r="AE248" s="83"/>
      <c r="AG248" s="70"/>
      <c r="AH248" s="83"/>
      <c r="AI248" s="82"/>
    </row>
    <row r="249" spans="1:35" ht="16" thickBot="1" x14ac:dyDescent="0.35">
      <c r="A249" s="66"/>
      <c r="B249" s="1183" t="s">
        <v>116</v>
      </c>
      <c r="C249" s="1184"/>
      <c r="D249" s="1591">
        <f>SUM(D239:F248)</f>
        <v>1172315300</v>
      </c>
      <c r="E249" s="1592"/>
      <c r="F249" s="1593"/>
      <c r="G249" s="1185">
        <f>SUM(G239:G248)</f>
        <v>0</v>
      </c>
      <c r="H249" s="1186">
        <f>SUM(H239:H248)</f>
        <v>1172315300</v>
      </c>
      <c r="I249" s="1187"/>
      <c r="J249" s="1666">
        <f>SUM(J239:K248)</f>
        <v>1624625000</v>
      </c>
      <c r="K249" s="1667"/>
      <c r="L249" s="1188">
        <f>SUM(L239:L248)</f>
        <v>0</v>
      </c>
      <c r="M249" s="1188">
        <f>SUM(M239:M248)</f>
        <v>1624625000</v>
      </c>
      <c r="N249" s="221"/>
      <c r="O249" s="221"/>
      <c r="P249" s="221"/>
      <c r="Q249" s="221"/>
      <c r="R249" s="221"/>
      <c r="S249" s="221"/>
      <c r="T249" s="221"/>
      <c r="U249" s="221"/>
      <c r="V249" s="221"/>
      <c r="W249" s="221"/>
      <c r="X249" s="221"/>
      <c r="Y249" s="221"/>
      <c r="Z249" s="221"/>
      <c r="AA249" s="221"/>
      <c r="AB249" s="221"/>
      <c r="AC249" s="221"/>
      <c r="AD249" s="82"/>
      <c r="AE249" s="83"/>
      <c r="AG249" s="70"/>
      <c r="AH249" s="83"/>
      <c r="AI249" s="82"/>
    </row>
    <row r="250" spans="1:35" ht="16.5" customHeight="1" thickTop="1" thickBot="1" x14ac:dyDescent="0.4">
      <c r="A250" s="66"/>
      <c r="B250" s="1671" t="str">
        <f>$B$69</f>
        <v>31 Desember 2019</v>
      </c>
      <c r="C250" s="1671"/>
      <c r="D250" s="1671"/>
      <c r="E250" s="1671"/>
      <c r="F250" s="1671"/>
      <c r="G250" s="1671"/>
      <c r="H250" s="1671"/>
      <c r="I250" s="230"/>
      <c r="J250" s="1672" t="str">
        <f>$J$69</f>
        <v>31 Desember 2018</v>
      </c>
      <c r="K250" s="1671"/>
      <c r="L250" s="1671"/>
      <c r="M250" s="1671"/>
      <c r="N250" s="225"/>
      <c r="O250" s="225"/>
      <c r="P250" s="225"/>
      <c r="Q250" s="225"/>
      <c r="R250" s="225"/>
      <c r="S250" s="225"/>
      <c r="T250" s="225"/>
      <c r="U250" s="225"/>
      <c r="V250" s="225"/>
      <c r="W250" s="225"/>
      <c r="X250" s="221"/>
      <c r="Y250" s="221"/>
      <c r="Z250" s="221"/>
      <c r="AA250" s="221"/>
      <c r="AB250" s="221"/>
      <c r="AC250" s="221"/>
      <c r="AD250" s="82"/>
      <c r="AE250" s="83"/>
      <c r="AG250" s="70"/>
      <c r="AH250" s="83"/>
      <c r="AI250" s="82"/>
    </row>
    <row r="251" spans="1:35" ht="20.5" thickTop="1" x14ac:dyDescent="0.3">
      <c r="A251" s="66"/>
      <c r="B251" s="1668" t="s">
        <v>234</v>
      </c>
      <c r="C251" s="1669"/>
      <c r="D251" s="1669"/>
      <c r="E251" s="1669"/>
      <c r="F251" s="1669"/>
      <c r="G251" s="1669"/>
      <c r="H251" s="1669"/>
      <c r="I251" s="1669"/>
      <c r="J251" s="1669"/>
      <c r="K251" s="1669"/>
      <c r="L251" s="1669"/>
      <c r="M251" s="1670"/>
      <c r="N251" s="221"/>
      <c r="O251" s="221"/>
      <c r="P251" s="221"/>
      <c r="Q251" s="221"/>
      <c r="R251" s="221"/>
      <c r="S251" s="221"/>
      <c r="T251" s="221"/>
      <c r="U251" s="221"/>
      <c r="V251" s="221"/>
      <c r="W251" s="221"/>
      <c r="X251" s="221"/>
      <c r="Y251" s="221"/>
      <c r="Z251" s="221"/>
      <c r="AA251" s="221"/>
      <c r="AB251" s="221"/>
      <c r="AC251" s="221"/>
      <c r="AD251" s="82"/>
      <c r="AE251" s="83"/>
      <c r="AG251" s="70"/>
      <c r="AH251" s="83"/>
      <c r="AI251" s="82"/>
    </row>
    <row r="252" spans="1:35" ht="15.5" x14ac:dyDescent="0.3">
      <c r="A252" s="66"/>
      <c r="B252" s="1710"/>
      <c r="C252" s="1601"/>
      <c r="D252" s="1584" t="s">
        <v>46</v>
      </c>
      <c r="E252" s="1713"/>
      <c r="F252" s="1585"/>
      <c r="G252" s="1189" t="s">
        <v>175</v>
      </c>
      <c r="H252" s="1190" t="s">
        <v>183</v>
      </c>
      <c r="I252" s="1191"/>
      <c r="J252" s="1584" t="s">
        <v>46</v>
      </c>
      <c r="K252" s="1585"/>
      <c r="L252" s="1189" t="s">
        <v>175</v>
      </c>
      <c r="M252" s="1192" t="s">
        <v>183</v>
      </c>
      <c r="N252" s="221"/>
      <c r="O252" s="221"/>
      <c r="P252" s="221"/>
      <c r="Q252" s="221"/>
      <c r="R252" s="221"/>
      <c r="S252" s="221"/>
      <c r="T252" s="221"/>
      <c r="U252" s="221"/>
      <c r="V252" s="221"/>
      <c r="W252" s="221"/>
      <c r="X252" s="221"/>
      <c r="Y252" s="221"/>
      <c r="Z252" s="221"/>
      <c r="AA252" s="221"/>
      <c r="AB252" s="221"/>
      <c r="AC252" s="221"/>
      <c r="AD252" s="82"/>
      <c r="AE252" s="83"/>
      <c r="AG252" s="70"/>
      <c r="AH252" s="83"/>
      <c r="AI252" s="82"/>
    </row>
    <row r="253" spans="1:35" x14ac:dyDescent="0.3">
      <c r="A253" s="66"/>
      <c r="B253" s="1710">
        <v>521311</v>
      </c>
      <c r="C253" s="1601"/>
      <c r="D253" s="1586"/>
      <c r="E253" s="1587"/>
      <c r="F253" s="1588"/>
      <c r="G253" s="1202"/>
      <c r="H253" s="1194">
        <f>D253-G253</f>
        <v>0</v>
      </c>
      <c r="I253" s="1195"/>
      <c r="J253" s="1659"/>
      <c r="K253" s="1660"/>
      <c r="L253" s="1196"/>
      <c r="M253" s="1197">
        <f>J253-L253</f>
        <v>0</v>
      </c>
      <c r="N253" s="221"/>
      <c r="O253" s="221"/>
      <c r="P253" s="221"/>
      <c r="Q253" s="221"/>
      <c r="R253" s="221"/>
      <c r="S253" s="221"/>
      <c r="T253" s="221"/>
      <c r="U253" s="221"/>
      <c r="V253" s="221"/>
      <c r="W253" s="221"/>
      <c r="X253" s="221"/>
      <c r="Y253" s="221"/>
      <c r="Z253" s="221"/>
      <c r="AA253" s="221"/>
      <c r="AB253" s="221"/>
      <c r="AC253" s="221"/>
      <c r="AD253" s="82"/>
      <c r="AE253" s="83"/>
      <c r="AF253" s="2103">
        <v>521311</v>
      </c>
      <c r="AG253" s="2103"/>
      <c r="AH253" s="83"/>
      <c r="AI253" s="82"/>
    </row>
    <row r="254" spans="1:35" ht="15.5" x14ac:dyDescent="0.3">
      <c r="A254" s="66"/>
      <c r="B254" s="1673"/>
      <c r="C254" s="1674"/>
      <c r="D254" s="1586"/>
      <c r="E254" s="1587"/>
      <c r="F254" s="1588"/>
      <c r="G254" s="1206"/>
      <c r="H254" s="1194">
        <f>D254-G254</f>
        <v>0</v>
      </c>
      <c r="I254" s="1195"/>
      <c r="J254" s="1659"/>
      <c r="K254" s="1660"/>
      <c r="L254" s="1196"/>
      <c r="M254" s="1197">
        <f>J254-L254</f>
        <v>0</v>
      </c>
      <c r="N254" s="221"/>
      <c r="O254" s="221"/>
      <c r="P254" s="221"/>
      <c r="Q254" s="221"/>
      <c r="R254" s="221"/>
      <c r="S254" s="221"/>
      <c r="T254" s="221"/>
      <c r="U254" s="221"/>
      <c r="V254" s="221"/>
      <c r="W254" s="221"/>
      <c r="X254" s="221"/>
      <c r="Y254" s="221"/>
      <c r="Z254" s="221"/>
      <c r="AA254" s="221"/>
      <c r="AB254" s="221"/>
      <c r="AC254" s="221"/>
      <c r="AD254" s="82"/>
      <c r="AE254" s="83"/>
      <c r="AG254" s="70"/>
      <c r="AH254" s="83"/>
      <c r="AI254" s="82"/>
    </row>
    <row r="255" spans="1:35" ht="15.5" x14ac:dyDescent="0.3">
      <c r="A255" s="66"/>
      <c r="B255" s="1673"/>
      <c r="C255" s="1674"/>
      <c r="D255" s="1586"/>
      <c r="E255" s="1587"/>
      <c r="F255" s="1588"/>
      <c r="G255" s="1206"/>
      <c r="H255" s="1194">
        <f>D255-G255</f>
        <v>0</v>
      </c>
      <c r="I255" s="1195"/>
      <c r="J255" s="1659"/>
      <c r="K255" s="1660"/>
      <c r="L255" s="1196"/>
      <c r="M255" s="1197">
        <f>J255-L255</f>
        <v>0</v>
      </c>
      <c r="N255" s="221"/>
      <c r="O255" s="221"/>
      <c r="P255" s="221"/>
      <c r="Q255" s="221"/>
      <c r="R255" s="221"/>
      <c r="S255" s="221"/>
      <c r="T255" s="221"/>
      <c r="U255" s="221"/>
      <c r="V255" s="221"/>
      <c r="W255" s="221"/>
      <c r="X255" s="221"/>
      <c r="Y255" s="221"/>
      <c r="Z255" s="221"/>
      <c r="AA255" s="221"/>
      <c r="AB255" s="221"/>
      <c r="AC255" s="221"/>
      <c r="AD255" s="82"/>
      <c r="AE255" s="83"/>
      <c r="AG255" s="70"/>
      <c r="AH255" s="83"/>
      <c r="AI255" s="82"/>
    </row>
    <row r="256" spans="1:35" ht="16" thickBot="1" x14ac:dyDescent="0.35">
      <c r="A256" s="66"/>
      <c r="B256" s="1183" t="s">
        <v>116</v>
      </c>
      <c r="C256" s="1184"/>
      <c r="D256" s="1591">
        <f>SUM(D253:F255)</f>
        <v>0</v>
      </c>
      <c r="E256" s="1592"/>
      <c r="F256" s="1593"/>
      <c r="G256" s="1185">
        <f>SUM(G253:G255)</f>
        <v>0</v>
      </c>
      <c r="H256" s="1186">
        <f>SUM(H253:H255)</f>
        <v>0</v>
      </c>
      <c r="I256" s="1187"/>
      <c r="J256" s="1666">
        <f>SUM(J253:K255)</f>
        <v>0</v>
      </c>
      <c r="K256" s="1667"/>
      <c r="L256" s="1188">
        <f>SUM(L253:L255)</f>
        <v>0</v>
      </c>
      <c r="M256" s="1188">
        <f>SUM(M253:M255)</f>
        <v>0</v>
      </c>
      <c r="N256" s="221"/>
      <c r="O256" s="221"/>
      <c r="P256" s="221"/>
      <c r="Q256" s="221"/>
      <c r="R256" s="221"/>
      <c r="S256" s="221"/>
      <c r="T256" s="221"/>
      <c r="U256" s="221"/>
      <c r="V256" s="221"/>
      <c r="W256" s="221"/>
      <c r="X256" s="221"/>
      <c r="Y256" s="221"/>
      <c r="Z256" s="221"/>
      <c r="AA256" s="221"/>
      <c r="AB256" s="221"/>
      <c r="AC256" s="221"/>
      <c r="AD256" s="82"/>
      <c r="AE256" s="83"/>
      <c r="AG256" s="70"/>
      <c r="AH256" s="83"/>
      <c r="AI256" s="82"/>
    </row>
    <row r="257" spans="1:35" ht="16.5" thickTop="1" thickBot="1" x14ac:dyDescent="0.4">
      <c r="A257" s="66"/>
      <c r="B257" s="1671" t="str">
        <f>$B$69</f>
        <v>31 Desember 2019</v>
      </c>
      <c r="C257" s="1671"/>
      <c r="D257" s="1671"/>
      <c r="E257" s="1671"/>
      <c r="F257" s="1671"/>
      <c r="G257" s="1671"/>
      <c r="H257" s="1671"/>
      <c r="I257" s="230"/>
      <c r="J257" s="1672" t="str">
        <f>$J$69</f>
        <v>31 Desember 2018</v>
      </c>
      <c r="K257" s="1671"/>
      <c r="L257" s="1671"/>
      <c r="M257" s="1671"/>
      <c r="N257" s="221"/>
      <c r="O257" s="221"/>
      <c r="P257" s="221"/>
      <c r="Q257" s="221"/>
      <c r="R257" s="221"/>
      <c r="S257" s="221"/>
      <c r="T257" s="221"/>
      <c r="U257" s="221"/>
      <c r="V257" s="221"/>
      <c r="W257" s="221"/>
      <c r="X257" s="221"/>
      <c r="Y257" s="221"/>
      <c r="Z257" s="221"/>
      <c r="AA257" s="221"/>
      <c r="AB257" s="221"/>
      <c r="AC257" s="221"/>
      <c r="AD257" s="223"/>
      <c r="AE257" s="83"/>
      <c r="AG257" s="70"/>
      <c r="AH257" s="83"/>
      <c r="AI257" s="82"/>
    </row>
    <row r="258" spans="1:35" ht="20.5" thickTop="1" x14ac:dyDescent="0.3">
      <c r="A258" s="66"/>
      <c r="B258" s="1668" t="s">
        <v>235</v>
      </c>
      <c r="C258" s="1669"/>
      <c r="D258" s="1669"/>
      <c r="E258" s="1669"/>
      <c r="F258" s="1669"/>
      <c r="G258" s="1669"/>
      <c r="H258" s="1669"/>
      <c r="I258" s="1669"/>
      <c r="J258" s="1669"/>
      <c r="K258" s="1669"/>
      <c r="L258" s="1669"/>
      <c r="M258" s="1670"/>
      <c r="N258" s="221"/>
      <c r="O258" s="221"/>
      <c r="P258" s="221"/>
      <c r="Q258" s="221"/>
      <c r="R258" s="221"/>
      <c r="S258" s="221"/>
      <c r="T258" s="221"/>
      <c r="U258" s="221"/>
      <c r="V258" s="221"/>
      <c r="W258" s="221"/>
      <c r="X258" s="221"/>
      <c r="Y258" s="221"/>
      <c r="Z258" s="221"/>
      <c r="AA258" s="221"/>
      <c r="AB258" s="221"/>
      <c r="AC258" s="221"/>
      <c r="AD258" s="223"/>
      <c r="AE258" s="83"/>
      <c r="AG258" s="70"/>
      <c r="AH258" s="83"/>
      <c r="AI258" s="82"/>
    </row>
    <row r="259" spans="1:35" ht="15.5" x14ac:dyDescent="0.3">
      <c r="A259" s="66"/>
      <c r="B259" s="1710"/>
      <c r="C259" s="1601"/>
      <c r="D259" s="1584" t="s">
        <v>46</v>
      </c>
      <c r="E259" s="1713"/>
      <c r="F259" s="1585"/>
      <c r="G259" s="1189" t="s">
        <v>175</v>
      </c>
      <c r="H259" s="1190" t="s">
        <v>183</v>
      </c>
      <c r="I259" s="1191"/>
      <c r="J259" s="1584" t="s">
        <v>46</v>
      </c>
      <c r="K259" s="1585"/>
      <c r="L259" s="1189" t="s">
        <v>175</v>
      </c>
      <c r="M259" s="1192" t="s">
        <v>183</v>
      </c>
      <c r="N259" s="221"/>
      <c r="O259" s="221"/>
      <c r="P259" s="221"/>
      <c r="Q259" s="221"/>
      <c r="R259" s="221"/>
      <c r="S259" s="221"/>
      <c r="T259" s="221"/>
      <c r="U259" s="221"/>
      <c r="V259" s="221"/>
      <c r="W259" s="221"/>
      <c r="X259" s="221"/>
      <c r="Y259" s="221"/>
      <c r="Z259" s="221"/>
      <c r="AA259" s="221"/>
      <c r="AB259" s="221"/>
      <c r="AC259" s="221"/>
      <c r="AD259" s="223"/>
      <c r="AE259" s="83"/>
      <c r="AG259" s="70"/>
      <c r="AH259" s="83"/>
      <c r="AI259" s="82"/>
    </row>
    <row r="260" spans="1:35" x14ac:dyDescent="0.3">
      <c r="A260" s="66"/>
      <c r="B260" s="1710">
        <v>521411</v>
      </c>
      <c r="C260" s="1601"/>
      <c r="D260" s="1586"/>
      <c r="E260" s="1587"/>
      <c r="F260" s="1588"/>
      <c r="G260" s="1202"/>
      <c r="H260" s="1194">
        <f>D260-G260</f>
        <v>0</v>
      </c>
      <c r="I260" s="1195"/>
      <c r="J260" s="1659"/>
      <c r="K260" s="1660"/>
      <c r="L260" s="1196"/>
      <c r="M260" s="1197">
        <f>J260-L260</f>
        <v>0</v>
      </c>
      <c r="N260" s="221"/>
      <c r="O260" s="221"/>
      <c r="P260" s="221"/>
      <c r="Q260" s="221"/>
      <c r="R260" s="221"/>
      <c r="S260" s="221"/>
      <c r="T260" s="221"/>
      <c r="U260" s="221"/>
      <c r="V260" s="221"/>
      <c r="W260" s="221"/>
      <c r="X260" s="221"/>
      <c r="Y260" s="221"/>
      <c r="Z260" s="221"/>
      <c r="AA260" s="221"/>
      <c r="AB260" s="221"/>
      <c r="AC260" s="221"/>
      <c r="AD260" s="223"/>
      <c r="AE260" s="83"/>
      <c r="AF260" s="2103">
        <v>521411</v>
      </c>
      <c r="AG260" s="2103"/>
      <c r="AH260" s="83"/>
      <c r="AI260" s="82"/>
    </row>
    <row r="261" spans="1:35" ht="15.5" x14ac:dyDescent="0.3">
      <c r="A261" s="66"/>
      <c r="B261" s="1673"/>
      <c r="C261" s="1674"/>
      <c r="D261" s="1586"/>
      <c r="E261" s="1587"/>
      <c r="F261" s="1588"/>
      <c r="G261" s="1206"/>
      <c r="H261" s="1194">
        <f>D261-G261</f>
        <v>0</v>
      </c>
      <c r="I261" s="1195"/>
      <c r="J261" s="1659"/>
      <c r="K261" s="1660"/>
      <c r="L261" s="1196"/>
      <c r="M261" s="1197">
        <f>J261-L261</f>
        <v>0</v>
      </c>
      <c r="N261" s="221"/>
      <c r="O261" s="221"/>
      <c r="P261" s="221"/>
      <c r="Q261" s="221"/>
      <c r="R261" s="221"/>
      <c r="S261" s="221"/>
      <c r="T261" s="221"/>
      <c r="U261" s="221"/>
      <c r="V261" s="221"/>
      <c r="W261" s="221"/>
      <c r="X261" s="221"/>
      <c r="Y261" s="221"/>
      <c r="Z261" s="221"/>
      <c r="AA261" s="221"/>
      <c r="AB261" s="221"/>
      <c r="AC261" s="221"/>
      <c r="AD261" s="223"/>
      <c r="AE261" s="83"/>
      <c r="AG261" s="70"/>
      <c r="AH261" s="83"/>
      <c r="AI261" s="82"/>
    </row>
    <row r="262" spans="1:35" ht="15.5" x14ac:dyDescent="0.3">
      <c r="A262" s="66"/>
      <c r="B262" s="1673"/>
      <c r="C262" s="1674"/>
      <c r="D262" s="1586"/>
      <c r="E262" s="1587"/>
      <c r="F262" s="1588"/>
      <c r="G262" s="1206"/>
      <c r="H262" s="1194">
        <f>D262-G262</f>
        <v>0</v>
      </c>
      <c r="I262" s="1195"/>
      <c r="J262" s="1659"/>
      <c r="K262" s="1660"/>
      <c r="L262" s="1196"/>
      <c r="M262" s="1197">
        <f>J262-L262</f>
        <v>0</v>
      </c>
      <c r="N262" s="221"/>
      <c r="O262" s="221"/>
      <c r="P262" s="221"/>
      <c r="Q262" s="221"/>
      <c r="R262" s="221"/>
      <c r="S262" s="221"/>
      <c r="T262" s="221"/>
      <c r="U262" s="221"/>
      <c r="V262" s="221"/>
      <c r="W262" s="221"/>
      <c r="X262" s="221"/>
      <c r="Y262" s="221"/>
      <c r="Z262" s="221"/>
      <c r="AA262" s="221"/>
      <c r="AB262" s="221"/>
      <c r="AC262" s="221"/>
      <c r="AD262" s="223"/>
      <c r="AE262" s="83"/>
      <c r="AG262" s="70"/>
      <c r="AH262" s="83"/>
      <c r="AI262" s="82"/>
    </row>
    <row r="263" spans="1:35" ht="16" thickBot="1" x14ac:dyDescent="0.35">
      <c r="A263" s="66"/>
      <c r="B263" s="1183" t="s">
        <v>116</v>
      </c>
      <c r="C263" s="1184"/>
      <c r="D263" s="1591">
        <f>SUM(D260:F262)</f>
        <v>0</v>
      </c>
      <c r="E263" s="1592"/>
      <c r="F263" s="1593"/>
      <c r="G263" s="1185">
        <f>SUM(G260:G262)</f>
        <v>0</v>
      </c>
      <c r="H263" s="1186">
        <f>SUM(H260:H262)</f>
        <v>0</v>
      </c>
      <c r="I263" s="1187"/>
      <c r="J263" s="1666">
        <f>SUM(J260:K262)</f>
        <v>0</v>
      </c>
      <c r="K263" s="1667"/>
      <c r="L263" s="1188">
        <f>SUM(L260:L262)</f>
        <v>0</v>
      </c>
      <c r="M263" s="1188">
        <f>SUM(M260:M262)</f>
        <v>0</v>
      </c>
      <c r="N263" s="221"/>
      <c r="O263" s="221"/>
      <c r="P263" s="221"/>
      <c r="Q263" s="221"/>
      <c r="R263" s="221"/>
      <c r="S263" s="221"/>
      <c r="T263" s="221"/>
      <c r="U263" s="221"/>
      <c r="V263" s="221"/>
      <c r="W263" s="221"/>
      <c r="X263" s="221"/>
      <c r="Y263" s="221"/>
      <c r="Z263" s="221"/>
      <c r="AA263" s="221"/>
      <c r="AB263" s="221"/>
      <c r="AC263" s="221"/>
      <c r="AD263" s="223"/>
      <c r="AE263" s="83"/>
      <c r="AG263" s="70"/>
      <c r="AH263" s="83"/>
      <c r="AI263" s="82"/>
    </row>
    <row r="264" spans="1:35" ht="16.5" thickTop="1" thickBot="1" x14ac:dyDescent="0.4">
      <c r="A264" s="66"/>
      <c r="B264" s="1671" t="str">
        <f>$B$69</f>
        <v>31 Desember 2019</v>
      </c>
      <c r="C264" s="1671"/>
      <c r="D264" s="1671"/>
      <c r="E264" s="1671"/>
      <c r="F264" s="1671"/>
      <c r="G264" s="1671"/>
      <c r="H264" s="1671"/>
      <c r="I264" s="230"/>
      <c r="J264" s="1672" t="str">
        <f>$J$69</f>
        <v>31 Desember 2018</v>
      </c>
      <c r="K264" s="1671"/>
      <c r="L264" s="1671"/>
      <c r="M264" s="1671"/>
      <c r="N264" s="221"/>
      <c r="O264" s="221"/>
      <c r="P264" s="221"/>
      <c r="Q264" s="221"/>
      <c r="R264" s="221"/>
      <c r="S264" s="221"/>
      <c r="T264" s="221"/>
      <c r="U264" s="221"/>
      <c r="V264" s="221"/>
      <c r="W264" s="221"/>
      <c r="X264" s="221"/>
      <c r="Y264" s="221"/>
      <c r="Z264" s="221"/>
      <c r="AA264" s="221"/>
      <c r="AB264" s="221"/>
      <c r="AC264" s="221"/>
      <c r="AD264" s="223"/>
      <c r="AE264" s="83"/>
      <c r="AF264" s="341"/>
      <c r="AG264" s="70"/>
      <c r="AH264" s="83"/>
      <c r="AI264" s="82"/>
    </row>
    <row r="265" spans="1:35" ht="20.5" thickTop="1" x14ac:dyDescent="0.3">
      <c r="A265" s="66"/>
      <c r="B265" s="1668" t="s">
        <v>1647</v>
      </c>
      <c r="C265" s="1669"/>
      <c r="D265" s="1669"/>
      <c r="E265" s="1669"/>
      <c r="F265" s="1669"/>
      <c r="G265" s="1669"/>
      <c r="H265" s="1669"/>
      <c r="I265" s="1669"/>
      <c r="J265" s="1669"/>
      <c r="K265" s="1669"/>
      <c r="L265" s="1669"/>
      <c r="M265" s="1670"/>
      <c r="N265" s="221"/>
      <c r="O265" s="221"/>
      <c r="P265" s="221"/>
      <c r="Q265" s="221"/>
      <c r="R265" s="221"/>
      <c r="S265" s="221"/>
      <c r="T265" s="221"/>
      <c r="U265" s="221"/>
      <c r="V265" s="221"/>
      <c r="W265" s="221"/>
      <c r="X265" s="221"/>
      <c r="Y265" s="221"/>
      <c r="Z265" s="221"/>
      <c r="AA265" s="221"/>
      <c r="AB265" s="221"/>
      <c r="AC265" s="221"/>
      <c r="AD265" s="223"/>
      <c r="AE265" s="83"/>
      <c r="AF265" s="341"/>
      <c r="AG265" s="70"/>
      <c r="AH265" s="83"/>
      <c r="AI265" s="82"/>
    </row>
    <row r="266" spans="1:35" ht="15.5" x14ac:dyDescent="0.3">
      <c r="A266" s="66"/>
      <c r="B266" s="1710"/>
      <c r="C266" s="1601"/>
      <c r="D266" s="1584" t="s">
        <v>46</v>
      </c>
      <c r="E266" s="1713"/>
      <c r="F266" s="1585"/>
      <c r="G266" s="1189" t="s">
        <v>175</v>
      </c>
      <c r="H266" s="1190" t="s">
        <v>183</v>
      </c>
      <c r="I266" s="1191"/>
      <c r="J266" s="1584" t="s">
        <v>46</v>
      </c>
      <c r="K266" s="1585"/>
      <c r="L266" s="1189" t="s">
        <v>175</v>
      </c>
      <c r="M266" s="1192" t="s">
        <v>183</v>
      </c>
      <c r="N266" s="221"/>
      <c r="O266" s="221"/>
      <c r="P266" s="221"/>
      <c r="Q266" s="221"/>
      <c r="R266" s="221"/>
      <c r="S266" s="221"/>
      <c r="T266" s="221"/>
      <c r="U266" s="221"/>
      <c r="V266" s="221"/>
      <c r="W266" s="221"/>
      <c r="X266" s="221"/>
      <c r="Y266" s="221"/>
      <c r="Z266" s="221"/>
      <c r="AA266" s="221"/>
      <c r="AB266" s="221"/>
      <c r="AC266" s="221"/>
      <c r="AD266" s="223"/>
      <c r="AE266" s="83"/>
      <c r="AF266" s="341"/>
      <c r="AG266" s="70"/>
      <c r="AH266" s="83"/>
      <c r="AI266" s="82"/>
    </row>
    <row r="267" spans="1:35" ht="15.5" x14ac:dyDescent="0.3">
      <c r="A267" s="66"/>
      <c r="B267" s="1710" t="s">
        <v>1643</v>
      </c>
      <c r="C267" s="1601"/>
      <c r="D267" s="1586"/>
      <c r="E267" s="1587"/>
      <c r="F267" s="1588"/>
      <c r="G267" s="1202"/>
      <c r="H267" s="1194">
        <f t="shared" ref="H267:H272" si="20">D267-G267</f>
        <v>0</v>
      </c>
      <c r="I267" s="1195"/>
      <c r="J267" s="1659"/>
      <c r="K267" s="1660"/>
      <c r="L267" s="1196"/>
      <c r="M267" s="1197">
        <f t="shared" ref="M267:M272" si="21">J267-L267</f>
        <v>0</v>
      </c>
      <c r="N267" s="221"/>
      <c r="O267" s="221"/>
      <c r="P267" s="221"/>
      <c r="Q267" s="221"/>
      <c r="R267" s="221"/>
      <c r="S267" s="221"/>
      <c r="T267" s="221"/>
      <c r="U267" s="221"/>
      <c r="V267" s="221"/>
      <c r="W267" s="221"/>
      <c r="X267" s="221"/>
      <c r="Y267" s="221"/>
      <c r="Z267" s="221"/>
      <c r="AA267" s="221"/>
      <c r="AB267" s="221"/>
      <c r="AC267" s="221"/>
      <c r="AD267" s="223"/>
      <c r="AE267" s="83"/>
      <c r="AF267" s="341"/>
      <c r="AG267" s="70"/>
      <c r="AH267" s="83"/>
      <c r="AI267" s="82"/>
    </row>
    <row r="268" spans="1:35" ht="15.5" x14ac:dyDescent="0.3">
      <c r="A268" s="66"/>
      <c r="B268" s="1710" t="s">
        <v>1644</v>
      </c>
      <c r="C268" s="1601"/>
      <c r="D268" s="1586"/>
      <c r="E268" s="1587"/>
      <c r="F268" s="1588"/>
      <c r="G268" s="1202"/>
      <c r="H268" s="1194">
        <f t="shared" si="20"/>
        <v>0</v>
      </c>
      <c r="I268" s="1195"/>
      <c r="J268" s="1659"/>
      <c r="K268" s="1660"/>
      <c r="L268" s="1196"/>
      <c r="M268" s="1197">
        <f t="shared" si="21"/>
        <v>0</v>
      </c>
      <c r="N268" s="221"/>
      <c r="O268" s="221"/>
      <c r="P268" s="221"/>
      <c r="Q268" s="221"/>
      <c r="R268" s="221"/>
      <c r="S268" s="221"/>
      <c r="T268" s="221"/>
      <c r="U268" s="221"/>
      <c r="V268" s="221"/>
      <c r="W268" s="221"/>
      <c r="X268" s="221"/>
      <c r="Y268" s="221"/>
      <c r="Z268" s="221"/>
      <c r="AA268" s="221"/>
      <c r="AB268" s="221"/>
      <c r="AC268" s="221"/>
      <c r="AD268" s="223"/>
      <c r="AE268" s="83"/>
      <c r="AF268" s="341"/>
      <c r="AG268" s="70"/>
      <c r="AH268" s="83"/>
      <c r="AI268" s="82"/>
    </row>
    <row r="269" spans="1:35" ht="15.5" x14ac:dyDescent="0.3">
      <c r="A269" s="66"/>
      <c r="B269" s="1710" t="s">
        <v>1645</v>
      </c>
      <c r="C269" s="1601"/>
      <c r="D269" s="1586"/>
      <c r="E269" s="1587"/>
      <c r="F269" s="1588"/>
      <c r="G269" s="1202"/>
      <c r="H269" s="1194">
        <f t="shared" si="20"/>
        <v>0</v>
      </c>
      <c r="I269" s="1195"/>
      <c r="J269" s="1659"/>
      <c r="K269" s="1660"/>
      <c r="L269" s="1196"/>
      <c r="M269" s="1197">
        <f t="shared" si="21"/>
        <v>0</v>
      </c>
      <c r="N269" s="221"/>
      <c r="O269" s="221"/>
      <c r="P269" s="221"/>
      <c r="Q269" s="221"/>
      <c r="R269" s="221"/>
      <c r="S269" s="221"/>
      <c r="T269" s="221"/>
      <c r="U269" s="221"/>
      <c r="V269" s="221"/>
      <c r="W269" s="221"/>
      <c r="X269" s="221"/>
      <c r="Y269" s="221"/>
      <c r="Z269" s="221"/>
      <c r="AA269" s="221"/>
      <c r="AB269" s="221"/>
      <c r="AC269" s="221"/>
      <c r="AD269" s="223"/>
      <c r="AE269" s="83"/>
      <c r="AF269" s="341"/>
      <c r="AG269" s="70"/>
      <c r="AH269" s="83"/>
      <c r="AI269" s="82"/>
    </row>
    <row r="270" spans="1:35" ht="15.5" x14ac:dyDescent="0.3">
      <c r="A270" s="66"/>
      <c r="B270" s="1710" t="s">
        <v>1646</v>
      </c>
      <c r="C270" s="1601"/>
      <c r="D270" s="1586"/>
      <c r="E270" s="1587"/>
      <c r="F270" s="1588"/>
      <c r="G270" s="1202"/>
      <c r="H270" s="1194">
        <f t="shared" si="20"/>
        <v>0</v>
      </c>
      <c r="I270" s="1195"/>
      <c r="J270" s="1659"/>
      <c r="K270" s="1660"/>
      <c r="L270" s="1196"/>
      <c r="M270" s="1197">
        <f t="shared" si="21"/>
        <v>0</v>
      </c>
      <c r="N270" s="221"/>
      <c r="O270" s="221"/>
      <c r="P270" s="221"/>
      <c r="Q270" s="221"/>
      <c r="R270" s="221"/>
      <c r="S270" s="221"/>
      <c r="T270" s="221"/>
      <c r="U270" s="221"/>
      <c r="V270" s="221"/>
      <c r="W270" s="221"/>
      <c r="X270" s="221"/>
      <c r="Y270" s="221"/>
      <c r="Z270" s="221"/>
      <c r="AA270" s="221"/>
      <c r="AB270" s="221"/>
      <c r="AC270" s="221"/>
      <c r="AD270" s="223"/>
      <c r="AE270" s="83"/>
      <c r="AF270" s="341"/>
      <c r="AG270" s="70"/>
      <c r="AH270" s="83"/>
      <c r="AI270" s="82"/>
    </row>
    <row r="271" spans="1:35" ht="15.5" x14ac:dyDescent="0.3">
      <c r="A271" s="66"/>
      <c r="B271" s="1673"/>
      <c r="C271" s="1674"/>
      <c r="D271" s="1586"/>
      <c r="E271" s="1587"/>
      <c r="F271" s="1588"/>
      <c r="G271" s="1206"/>
      <c r="H271" s="1194">
        <f t="shared" si="20"/>
        <v>0</v>
      </c>
      <c r="I271" s="1195"/>
      <c r="J271" s="1659"/>
      <c r="K271" s="1660"/>
      <c r="L271" s="1196"/>
      <c r="M271" s="1197">
        <f t="shared" si="21"/>
        <v>0</v>
      </c>
      <c r="N271" s="221"/>
      <c r="O271" s="221"/>
      <c r="P271" s="221"/>
      <c r="Q271" s="221"/>
      <c r="R271" s="221"/>
      <c r="S271" s="221"/>
      <c r="T271" s="221"/>
      <c r="U271" s="221"/>
      <c r="V271" s="221"/>
      <c r="W271" s="221"/>
      <c r="X271" s="221"/>
      <c r="Y271" s="221"/>
      <c r="Z271" s="221"/>
      <c r="AA271" s="221"/>
      <c r="AB271" s="221"/>
      <c r="AC271" s="221"/>
      <c r="AD271" s="223"/>
      <c r="AE271" s="83"/>
      <c r="AF271" s="341"/>
      <c r="AG271" s="70"/>
      <c r="AH271" s="83"/>
      <c r="AI271" s="82"/>
    </row>
    <row r="272" spans="1:35" ht="15.5" x14ac:dyDescent="0.3">
      <c r="A272" s="66"/>
      <c r="B272" s="1673"/>
      <c r="C272" s="1674"/>
      <c r="D272" s="1586"/>
      <c r="E272" s="1587"/>
      <c r="F272" s="1588"/>
      <c r="G272" s="1206"/>
      <c r="H272" s="1194">
        <f t="shared" si="20"/>
        <v>0</v>
      </c>
      <c r="I272" s="1195"/>
      <c r="J272" s="1659"/>
      <c r="K272" s="1660"/>
      <c r="L272" s="1196"/>
      <c r="M272" s="1197">
        <f t="shared" si="21"/>
        <v>0</v>
      </c>
      <c r="N272" s="221"/>
      <c r="O272" s="221"/>
      <c r="P272" s="221"/>
      <c r="Q272" s="221"/>
      <c r="R272" s="221"/>
      <c r="S272" s="221"/>
      <c r="T272" s="221"/>
      <c r="U272" s="221"/>
      <c r="V272" s="221"/>
      <c r="W272" s="221"/>
      <c r="X272" s="221"/>
      <c r="Y272" s="221"/>
      <c r="Z272" s="221"/>
      <c r="AA272" s="221"/>
      <c r="AB272" s="221"/>
      <c r="AC272" s="221"/>
      <c r="AD272" s="223"/>
      <c r="AE272" s="83"/>
      <c r="AF272" s="341"/>
      <c r="AG272" s="70"/>
      <c r="AH272" s="83"/>
      <c r="AI272" s="82"/>
    </row>
    <row r="273" spans="1:35" ht="16" thickBot="1" x14ac:dyDescent="0.35">
      <c r="A273" s="66"/>
      <c r="B273" s="1183" t="s">
        <v>116</v>
      </c>
      <c r="C273" s="1184"/>
      <c r="D273" s="1591">
        <f>SUM(D267:F272)</f>
        <v>0</v>
      </c>
      <c r="E273" s="1592"/>
      <c r="F273" s="1593"/>
      <c r="G273" s="1185">
        <f>SUM(G267:G272)</f>
        <v>0</v>
      </c>
      <c r="H273" s="1186">
        <f>SUM(H267:H272)</f>
        <v>0</v>
      </c>
      <c r="I273" s="1187"/>
      <c r="J273" s="1666">
        <f>SUM(J267:K272)</f>
        <v>0</v>
      </c>
      <c r="K273" s="1667"/>
      <c r="L273" s="1188">
        <f>SUM(L267:L272)</f>
        <v>0</v>
      </c>
      <c r="M273" s="1188">
        <f>SUM(M267:M272)</f>
        <v>0</v>
      </c>
      <c r="N273" s="221"/>
      <c r="O273" s="221"/>
      <c r="P273" s="221"/>
      <c r="Q273" s="221"/>
      <c r="R273" s="221"/>
      <c r="S273" s="221"/>
      <c r="T273" s="221"/>
      <c r="U273" s="221"/>
      <c r="V273" s="221"/>
      <c r="W273" s="221"/>
      <c r="X273" s="221"/>
      <c r="Y273" s="221"/>
      <c r="Z273" s="221"/>
      <c r="AA273" s="221"/>
      <c r="AB273" s="221"/>
      <c r="AC273" s="221"/>
      <c r="AD273" s="223"/>
      <c r="AE273" s="83"/>
      <c r="AF273" s="341"/>
      <c r="AG273" s="70"/>
      <c r="AH273" s="83"/>
      <c r="AI273" s="82"/>
    </row>
    <row r="274" spans="1:35" ht="16.5" thickTop="1" thickBot="1" x14ac:dyDescent="0.4">
      <c r="A274" s="66"/>
      <c r="B274" s="1671" t="str">
        <f>$B$69</f>
        <v>31 Desember 2019</v>
      </c>
      <c r="C274" s="1671"/>
      <c r="D274" s="1671"/>
      <c r="E274" s="1671"/>
      <c r="F274" s="1671"/>
      <c r="G274" s="1671"/>
      <c r="H274" s="1671"/>
      <c r="I274" s="230"/>
      <c r="J274" s="1672" t="str">
        <f>$J$69</f>
        <v>31 Desember 2018</v>
      </c>
      <c r="K274" s="1671"/>
      <c r="L274" s="1671"/>
      <c r="M274" s="1671"/>
      <c r="N274" s="221"/>
      <c r="O274" s="221"/>
      <c r="P274" s="221"/>
      <c r="Q274" s="221"/>
      <c r="R274" s="221"/>
      <c r="S274" s="221"/>
      <c r="T274" s="221"/>
      <c r="U274" s="221"/>
      <c r="V274" s="221"/>
      <c r="W274" s="221"/>
      <c r="X274" s="221"/>
      <c r="Y274" s="221"/>
      <c r="Z274" s="221"/>
      <c r="AA274" s="221"/>
      <c r="AB274" s="221"/>
      <c r="AC274" s="221"/>
      <c r="AD274" s="223"/>
      <c r="AE274" s="83"/>
      <c r="AF274" s="341"/>
      <c r="AG274" s="70"/>
      <c r="AH274" s="83"/>
      <c r="AI274" s="82"/>
    </row>
    <row r="275" spans="1:35" ht="20.5" thickTop="1" x14ac:dyDescent="0.3">
      <c r="A275" s="66"/>
      <c r="B275" s="1668" t="s">
        <v>1648</v>
      </c>
      <c r="C275" s="1669"/>
      <c r="D275" s="1669"/>
      <c r="E275" s="1669"/>
      <c r="F275" s="1669"/>
      <c r="G275" s="1669"/>
      <c r="H275" s="1669"/>
      <c r="I275" s="1669"/>
      <c r="J275" s="1669"/>
      <c r="K275" s="1669"/>
      <c r="L275" s="1669"/>
      <c r="M275" s="1670"/>
      <c r="N275" s="221"/>
      <c r="O275" s="221"/>
      <c r="P275" s="221"/>
      <c r="Q275" s="221"/>
      <c r="R275" s="221"/>
      <c r="S275" s="221"/>
      <c r="T275" s="221"/>
      <c r="U275" s="221"/>
      <c r="V275" s="221"/>
      <c r="W275" s="221"/>
      <c r="X275" s="221"/>
      <c r="Y275" s="221"/>
      <c r="Z275" s="221"/>
      <c r="AA275" s="221"/>
      <c r="AB275" s="221"/>
      <c r="AC275" s="221"/>
      <c r="AD275" s="223"/>
      <c r="AE275" s="83"/>
      <c r="AF275" s="341"/>
      <c r="AG275" s="70"/>
      <c r="AH275" s="83"/>
      <c r="AI275" s="82"/>
    </row>
    <row r="276" spans="1:35" ht="15.5" x14ac:dyDescent="0.3">
      <c r="A276" s="66"/>
      <c r="B276" s="1710"/>
      <c r="C276" s="1601"/>
      <c r="D276" s="1584" t="s">
        <v>46</v>
      </c>
      <c r="E276" s="1713"/>
      <c r="F276" s="1585"/>
      <c r="G276" s="1189" t="s">
        <v>175</v>
      </c>
      <c r="H276" s="1190" t="s">
        <v>183</v>
      </c>
      <c r="I276" s="1191"/>
      <c r="J276" s="1584" t="s">
        <v>46</v>
      </c>
      <c r="K276" s="1585"/>
      <c r="L276" s="1189" t="s">
        <v>175</v>
      </c>
      <c r="M276" s="1192" t="s">
        <v>183</v>
      </c>
      <c r="N276" s="221"/>
      <c r="O276" s="221"/>
      <c r="P276" s="221"/>
      <c r="Q276" s="221"/>
      <c r="R276" s="221"/>
      <c r="S276" s="221"/>
      <c r="T276" s="221"/>
      <c r="U276" s="221"/>
      <c r="V276" s="221"/>
      <c r="W276" s="221"/>
      <c r="X276" s="221"/>
      <c r="Y276" s="221"/>
      <c r="Z276" s="221"/>
      <c r="AA276" s="221"/>
      <c r="AB276" s="221"/>
      <c r="AC276" s="221"/>
      <c r="AD276" s="223"/>
      <c r="AE276" s="83"/>
      <c r="AF276" s="341"/>
      <c r="AG276" s="70"/>
      <c r="AH276" s="83"/>
      <c r="AI276" s="82"/>
    </row>
    <row r="277" spans="1:35" ht="15.5" x14ac:dyDescent="0.3">
      <c r="A277" s="66"/>
      <c r="B277" s="1710">
        <v>521611</v>
      </c>
      <c r="C277" s="1601"/>
      <c r="D277" s="1586"/>
      <c r="E277" s="1587"/>
      <c r="F277" s="1588"/>
      <c r="G277" s="1202"/>
      <c r="H277" s="1194">
        <f>D277-G277</f>
        <v>0</v>
      </c>
      <c r="I277" s="1195"/>
      <c r="J277" s="1659"/>
      <c r="K277" s="1660"/>
      <c r="L277" s="1196"/>
      <c r="M277" s="1197">
        <f>J277-L277</f>
        <v>0</v>
      </c>
      <c r="N277" s="221"/>
      <c r="O277" s="221"/>
      <c r="P277" s="221"/>
      <c r="Q277" s="221"/>
      <c r="R277" s="221"/>
      <c r="S277" s="221"/>
      <c r="T277" s="221"/>
      <c r="U277" s="221"/>
      <c r="V277" s="221"/>
      <c r="W277" s="221"/>
      <c r="X277" s="221"/>
      <c r="Y277" s="221"/>
      <c r="Z277" s="221"/>
      <c r="AA277" s="221"/>
      <c r="AB277" s="221"/>
      <c r="AC277" s="221"/>
      <c r="AD277" s="223"/>
      <c r="AE277" s="83"/>
      <c r="AF277" s="341"/>
      <c r="AG277" s="70"/>
      <c r="AH277" s="83"/>
      <c r="AI277" s="82"/>
    </row>
    <row r="278" spans="1:35" ht="15.5" x14ac:dyDescent="0.3">
      <c r="A278" s="66"/>
      <c r="B278" s="1673"/>
      <c r="C278" s="1674"/>
      <c r="D278" s="1586"/>
      <c r="E278" s="1587"/>
      <c r="F278" s="1588"/>
      <c r="G278" s="1206"/>
      <c r="H278" s="1194">
        <f>D278-G278</f>
        <v>0</v>
      </c>
      <c r="I278" s="1195"/>
      <c r="J278" s="1659"/>
      <c r="K278" s="1660"/>
      <c r="L278" s="1196"/>
      <c r="M278" s="1197">
        <f>J278-L278</f>
        <v>0</v>
      </c>
      <c r="N278" s="221"/>
      <c r="O278" s="221"/>
      <c r="P278" s="221"/>
      <c r="Q278" s="221"/>
      <c r="R278" s="221"/>
      <c r="S278" s="221"/>
      <c r="T278" s="221"/>
      <c r="U278" s="221"/>
      <c r="V278" s="221"/>
      <c r="W278" s="221"/>
      <c r="X278" s="221"/>
      <c r="Y278" s="221"/>
      <c r="Z278" s="221"/>
      <c r="AA278" s="221"/>
      <c r="AB278" s="221"/>
      <c r="AC278" s="221"/>
      <c r="AD278" s="223"/>
      <c r="AE278" s="83"/>
      <c r="AF278" s="341"/>
      <c r="AG278" s="70"/>
      <c r="AH278" s="83"/>
      <c r="AI278" s="82"/>
    </row>
    <row r="279" spans="1:35" ht="15.5" x14ac:dyDescent="0.3">
      <c r="A279" s="66"/>
      <c r="B279" s="1673"/>
      <c r="C279" s="1674"/>
      <c r="D279" s="1586"/>
      <c r="E279" s="1587"/>
      <c r="F279" s="1588"/>
      <c r="G279" s="1206"/>
      <c r="H279" s="1194">
        <f>D279-G279</f>
        <v>0</v>
      </c>
      <c r="I279" s="1195"/>
      <c r="J279" s="1659"/>
      <c r="K279" s="1660"/>
      <c r="L279" s="1196"/>
      <c r="M279" s="1197">
        <f>J279-L279</f>
        <v>0</v>
      </c>
      <c r="N279" s="221"/>
      <c r="O279" s="221"/>
      <c r="P279" s="221"/>
      <c r="Q279" s="221"/>
      <c r="R279" s="221"/>
      <c r="S279" s="221"/>
      <c r="T279" s="221"/>
      <c r="U279" s="221"/>
      <c r="V279" s="221"/>
      <c r="W279" s="221"/>
      <c r="X279" s="221"/>
      <c r="Y279" s="221"/>
      <c r="Z279" s="221"/>
      <c r="AA279" s="221"/>
      <c r="AB279" s="221"/>
      <c r="AC279" s="221"/>
      <c r="AD279" s="223"/>
      <c r="AE279" s="83"/>
      <c r="AF279" s="341"/>
      <c r="AG279" s="70"/>
      <c r="AH279" s="83"/>
      <c r="AI279" s="82"/>
    </row>
    <row r="280" spans="1:35" ht="16" thickBot="1" x14ac:dyDescent="0.35">
      <c r="A280" s="66"/>
      <c r="B280" s="1183" t="s">
        <v>116</v>
      </c>
      <c r="C280" s="1184"/>
      <c r="D280" s="1591">
        <f>SUM(D277:F279)</f>
        <v>0</v>
      </c>
      <c r="E280" s="1592"/>
      <c r="F280" s="1593"/>
      <c r="G280" s="1185">
        <f>SUM(G277:G279)</f>
        <v>0</v>
      </c>
      <c r="H280" s="1186">
        <f>SUM(H277:H279)</f>
        <v>0</v>
      </c>
      <c r="I280" s="1187"/>
      <c r="J280" s="1666">
        <f>SUM(J277:K279)</f>
        <v>0</v>
      </c>
      <c r="K280" s="1667"/>
      <c r="L280" s="1188">
        <f>SUM(L277:L279)</f>
        <v>0</v>
      </c>
      <c r="M280" s="1188">
        <f>SUM(M277:M279)</f>
        <v>0</v>
      </c>
      <c r="N280" s="221"/>
      <c r="O280" s="221"/>
      <c r="P280" s="221"/>
      <c r="Q280" s="221"/>
      <c r="R280" s="221"/>
      <c r="S280" s="221"/>
      <c r="T280" s="221"/>
      <c r="U280" s="221"/>
      <c r="V280" s="221"/>
      <c r="W280" s="221"/>
      <c r="X280" s="221"/>
      <c r="Y280" s="221"/>
      <c r="Z280" s="221"/>
      <c r="AA280" s="221"/>
      <c r="AB280" s="221"/>
      <c r="AC280" s="221"/>
      <c r="AD280" s="223"/>
      <c r="AE280" s="83"/>
      <c r="AF280" s="341"/>
      <c r="AG280" s="70"/>
      <c r="AH280" s="83"/>
      <c r="AI280" s="82"/>
    </row>
    <row r="281" spans="1:35" ht="16.5" thickTop="1" thickBot="1" x14ac:dyDescent="0.4">
      <c r="A281" s="66"/>
      <c r="B281" s="1671" t="str">
        <f>$B$69</f>
        <v>31 Desember 2019</v>
      </c>
      <c r="C281" s="1671"/>
      <c r="D281" s="1671"/>
      <c r="E281" s="1671"/>
      <c r="F281" s="1671"/>
      <c r="G281" s="1671"/>
      <c r="H281" s="1671"/>
      <c r="I281" s="230"/>
      <c r="J281" s="1672" t="str">
        <f>$J$69</f>
        <v>31 Desember 2018</v>
      </c>
      <c r="K281" s="1671"/>
      <c r="L281" s="1671"/>
      <c r="M281" s="1671"/>
      <c r="N281" s="221"/>
      <c r="O281" s="221"/>
      <c r="P281" s="221"/>
      <c r="Q281" s="221"/>
      <c r="R281" s="221"/>
      <c r="S281" s="221"/>
      <c r="T281" s="221"/>
      <c r="U281" s="221"/>
      <c r="V281" s="221"/>
      <c r="W281" s="221"/>
      <c r="X281" s="221"/>
      <c r="Y281" s="221"/>
      <c r="Z281" s="221"/>
      <c r="AA281" s="221"/>
      <c r="AB281" s="221"/>
      <c r="AC281" s="221"/>
      <c r="AD281" s="223"/>
      <c r="AE281" s="83"/>
      <c r="AF281" s="341"/>
      <c r="AG281" s="70"/>
      <c r="AH281" s="83"/>
      <c r="AI281" s="82"/>
    </row>
    <row r="282" spans="1:35" ht="20.5" thickTop="1" x14ac:dyDescent="0.3">
      <c r="A282" s="66"/>
      <c r="B282" s="1668" t="s">
        <v>1649</v>
      </c>
      <c r="C282" s="1669"/>
      <c r="D282" s="1669"/>
      <c r="E282" s="1669"/>
      <c r="F282" s="1669"/>
      <c r="G282" s="1669"/>
      <c r="H282" s="1669"/>
      <c r="I282" s="1669"/>
      <c r="J282" s="1669"/>
      <c r="K282" s="1669"/>
      <c r="L282" s="1669"/>
      <c r="M282" s="1670"/>
      <c r="N282" s="221"/>
      <c r="O282" s="221"/>
      <c r="P282" s="221"/>
      <c r="Q282" s="221"/>
      <c r="R282" s="221"/>
      <c r="S282" s="221"/>
      <c r="T282" s="221"/>
      <c r="U282" s="221"/>
      <c r="V282" s="221"/>
      <c r="W282" s="221"/>
      <c r="X282" s="221"/>
      <c r="Y282" s="221"/>
      <c r="Z282" s="221"/>
      <c r="AA282" s="221"/>
      <c r="AB282" s="221"/>
      <c r="AC282" s="221"/>
      <c r="AD282" s="223"/>
      <c r="AE282" s="83"/>
      <c r="AF282" s="341"/>
      <c r="AG282" s="70"/>
      <c r="AH282" s="83"/>
      <c r="AI282" s="82"/>
    </row>
    <row r="283" spans="1:35" ht="15.5" x14ac:dyDescent="0.3">
      <c r="A283" s="66"/>
      <c r="B283" s="1710"/>
      <c r="C283" s="1601"/>
      <c r="D283" s="1584" t="s">
        <v>46</v>
      </c>
      <c r="E283" s="1713"/>
      <c r="F283" s="1585"/>
      <c r="G283" s="1189" t="s">
        <v>175</v>
      </c>
      <c r="H283" s="1190" t="s">
        <v>183</v>
      </c>
      <c r="I283" s="1191"/>
      <c r="J283" s="1584" t="s">
        <v>46</v>
      </c>
      <c r="K283" s="1585"/>
      <c r="L283" s="1189" t="s">
        <v>175</v>
      </c>
      <c r="M283" s="1192" t="s">
        <v>183</v>
      </c>
      <c r="N283" s="221"/>
      <c r="O283" s="221"/>
      <c r="P283" s="221"/>
      <c r="Q283" s="221"/>
      <c r="R283" s="221"/>
      <c r="S283" s="221"/>
      <c r="T283" s="221"/>
      <c r="U283" s="221"/>
      <c r="V283" s="221"/>
      <c r="W283" s="221"/>
      <c r="X283" s="221"/>
      <c r="Y283" s="221"/>
      <c r="Z283" s="221"/>
      <c r="AA283" s="221"/>
      <c r="AB283" s="221"/>
      <c r="AC283" s="221"/>
      <c r="AD283" s="223"/>
      <c r="AE283" s="83"/>
      <c r="AF283" s="341"/>
      <c r="AG283" s="70"/>
      <c r="AH283" s="83"/>
      <c r="AI283" s="82"/>
    </row>
    <row r="284" spans="1:35" ht="15.5" x14ac:dyDescent="0.3">
      <c r="A284" s="66"/>
      <c r="B284" s="1710" t="s">
        <v>1650</v>
      </c>
      <c r="C284" s="1601"/>
      <c r="D284" s="1586"/>
      <c r="E284" s="1587"/>
      <c r="F284" s="1588"/>
      <c r="G284" s="1202"/>
      <c r="H284" s="1194">
        <f>D284-G284</f>
        <v>0</v>
      </c>
      <c r="I284" s="1195"/>
      <c r="J284" s="1659"/>
      <c r="K284" s="1660"/>
      <c r="L284" s="1196"/>
      <c r="M284" s="1197">
        <f>J284-L284</f>
        <v>0</v>
      </c>
      <c r="N284" s="221"/>
      <c r="O284" s="221"/>
      <c r="P284" s="221"/>
      <c r="Q284" s="221"/>
      <c r="R284" s="221"/>
      <c r="S284" s="221"/>
      <c r="T284" s="221"/>
      <c r="U284" s="221"/>
      <c r="V284" s="221"/>
      <c r="W284" s="221"/>
      <c r="X284" s="221"/>
      <c r="Y284" s="221"/>
      <c r="Z284" s="221"/>
      <c r="AA284" s="221"/>
      <c r="AB284" s="221"/>
      <c r="AC284" s="221"/>
      <c r="AD284" s="223"/>
      <c r="AE284" s="83"/>
      <c r="AF284" s="341"/>
      <c r="AG284" s="70"/>
      <c r="AH284" s="83"/>
      <c r="AI284" s="82"/>
    </row>
    <row r="285" spans="1:35" ht="15.5" x14ac:dyDescent="0.3">
      <c r="A285" s="66"/>
      <c r="B285" s="1710" t="s">
        <v>1651</v>
      </c>
      <c r="C285" s="1601"/>
      <c r="D285" s="1586"/>
      <c r="E285" s="1587"/>
      <c r="F285" s="1588"/>
      <c r="G285" s="1202"/>
      <c r="H285" s="1194">
        <f>D285-G285</f>
        <v>0</v>
      </c>
      <c r="I285" s="1195"/>
      <c r="J285" s="1659"/>
      <c r="K285" s="1660"/>
      <c r="L285" s="1196"/>
      <c r="M285" s="1197">
        <f>J285-L285</f>
        <v>0</v>
      </c>
      <c r="N285" s="221"/>
      <c r="O285" s="221"/>
      <c r="P285" s="221"/>
      <c r="Q285" s="221"/>
      <c r="R285" s="221"/>
      <c r="S285" s="221"/>
      <c r="T285" s="221"/>
      <c r="U285" s="221"/>
      <c r="V285" s="221"/>
      <c r="W285" s="221"/>
      <c r="X285" s="221"/>
      <c r="Y285" s="221"/>
      <c r="Z285" s="221"/>
      <c r="AA285" s="221"/>
      <c r="AB285" s="221"/>
      <c r="AC285" s="221"/>
      <c r="AD285" s="223"/>
      <c r="AE285" s="83"/>
      <c r="AF285" s="341"/>
      <c r="AG285" s="70"/>
      <c r="AH285" s="83"/>
      <c r="AI285" s="82"/>
    </row>
    <row r="286" spans="1:35" ht="15.5" x14ac:dyDescent="0.3">
      <c r="A286" s="66"/>
      <c r="B286" s="1710" t="s">
        <v>1652</v>
      </c>
      <c r="C286" s="1601"/>
      <c r="D286" s="1586"/>
      <c r="E286" s="1587"/>
      <c r="F286" s="1588"/>
      <c r="G286" s="1202"/>
      <c r="H286" s="1194">
        <f>D286-G286</f>
        <v>0</v>
      </c>
      <c r="I286" s="1195"/>
      <c r="J286" s="1659"/>
      <c r="K286" s="1660"/>
      <c r="L286" s="1196"/>
      <c r="M286" s="1197">
        <f>J286-L286</f>
        <v>0</v>
      </c>
      <c r="N286" s="221"/>
      <c r="O286" s="221"/>
      <c r="P286" s="221"/>
      <c r="Q286" s="221"/>
      <c r="R286" s="221"/>
      <c r="S286" s="221"/>
      <c r="T286" s="221"/>
      <c r="U286" s="221"/>
      <c r="V286" s="221"/>
      <c r="W286" s="221"/>
      <c r="X286" s="221"/>
      <c r="Y286" s="221"/>
      <c r="Z286" s="221"/>
      <c r="AA286" s="221"/>
      <c r="AB286" s="221"/>
      <c r="AC286" s="221"/>
      <c r="AD286" s="223"/>
      <c r="AE286" s="83"/>
      <c r="AF286" s="341"/>
      <c r="AG286" s="70"/>
      <c r="AH286" s="83"/>
      <c r="AI286" s="82"/>
    </row>
    <row r="287" spans="1:35" ht="15.5" x14ac:dyDescent="0.3">
      <c r="A287" s="66"/>
      <c r="B287" s="1673"/>
      <c r="C287" s="1674"/>
      <c r="D287" s="1586"/>
      <c r="E287" s="1587"/>
      <c r="F287" s="1588"/>
      <c r="G287" s="1202"/>
      <c r="H287" s="1194">
        <f>D287-G287</f>
        <v>0</v>
      </c>
      <c r="I287" s="1195"/>
      <c r="J287" s="1659"/>
      <c r="K287" s="1660"/>
      <c r="L287" s="1196"/>
      <c r="M287" s="1197">
        <f>J287-L287</f>
        <v>0</v>
      </c>
      <c r="N287" s="221"/>
      <c r="O287" s="221"/>
      <c r="P287" s="221"/>
      <c r="Q287" s="221"/>
      <c r="R287" s="221"/>
      <c r="S287" s="221"/>
      <c r="T287" s="221"/>
      <c r="U287" s="221"/>
      <c r="V287" s="221"/>
      <c r="W287" s="221"/>
      <c r="X287" s="221"/>
      <c r="Y287" s="221"/>
      <c r="Z287" s="221"/>
      <c r="AA287" s="221"/>
      <c r="AB287" s="221"/>
      <c r="AC287" s="221"/>
      <c r="AD287" s="223"/>
      <c r="AE287" s="83"/>
      <c r="AF287" s="341"/>
      <c r="AG287" s="70"/>
      <c r="AH287" s="83"/>
      <c r="AI287" s="82"/>
    </row>
    <row r="288" spans="1:35" ht="15.5" x14ac:dyDescent="0.3">
      <c r="A288" s="66"/>
      <c r="B288" s="1673"/>
      <c r="C288" s="1674"/>
      <c r="D288" s="1586"/>
      <c r="E288" s="1587"/>
      <c r="F288" s="1588"/>
      <c r="G288" s="1202"/>
      <c r="H288" s="1194">
        <f>D288-G288</f>
        <v>0</v>
      </c>
      <c r="I288" s="1195"/>
      <c r="J288" s="1659"/>
      <c r="K288" s="1660"/>
      <c r="L288" s="1196"/>
      <c r="M288" s="1197">
        <f>J288-L288</f>
        <v>0</v>
      </c>
      <c r="N288" s="221"/>
      <c r="O288" s="221"/>
      <c r="P288" s="221"/>
      <c r="Q288" s="221"/>
      <c r="R288" s="221"/>
      <c r="S288" s="221"/>
      <c r="T288" s="221"/>
      <c r="U288" s="221"/>
      <c r="V288" s="221"/>
      <c r="W288" s="221"/>
      <c r="X288" s="221"/>
      <c r="Y288" s="221"/>
      <c r="Z288" s="221"/>
      <c r="AA288" s="221"/>
      <c r="AB288" s="221"/>
      <c r="AC288" s="221"/>
      <c r="AD288" s="223"/>
      <c r="AE288" s="83"/>
      <c r="AF288" s="341"/>
      <c r="AG288" s="70"/>
      <c r="AH288" s="83"/>
      <c r="AI288" s="82"/>
    </row>
    <row r="289" spans="1:35" ht="16" thickBot="1" x14ac:dyDescent="0.35">
      <c r="A289" s="66"/>
      <c r="B289" s="1183" t="s">
        <v>116</v>
      </c>
      <c r="C289" s="1184"/>
      <c r="D289" s="1591">
        <f>SUM(D284:F288)</f>
        <v>0</v>
      </c>
      <c r="E289" s="1592"/>
      <c r="F289" s="1593"/>
      <c r="G289" s="1185">
        <f>SUM(G284:G288)</f>
        <v>0</v>
      </c>
      <c r="H289" s="1186">
        <f>SUM(H284:H288)</f>
        <v>0</v>
      </c>
      <c r="I289" s="1187"/>
      <c r="J289" s="1666">
        <f>SUM(J284:K288)</f>
        <v>0</v>
      </c>
      <c r="K289" s="1667"/>
      <c r="L289" s="1188">
        <f>SUM(L284:L288)</f>
        <v>0</v>
      </c>
      <c r="M289" s="1188">
        <f>SUM(M284:M288)</f>
        <v>0</v>
      </c>
      <c r="N289" s="221"/>
      <c r="O289" s="221"/>
      <c r="P289" s="221"/>
      <c r="Q289" s="221"/>
      <c r="R289" s="221"/>
      <c r="S289" s="221"/>
      <c r="T289" s="221"/>
      <c r="U289" s="221"/>
      <c r="V289" s="221"/>
      <c r="W289" s="221"/>
      <c r="X289" s="221"/>
      <c r="Y289" s="221"/>
      <c r="Z289" s="221"/>
      <c r="AA289" s="221"/>
      <c r="AB289" s="221"/>
      <c r="AC289" s="221"/>
      <c r="AD289" s="223"/>
      <c r="AE289" s="83"/>
      <c r="AF289" s="341"/>
      <c r="AG289" s="70"/>
      <c r="AH289" s="83"/>
      <c r="AI289" s="82"/>
    </row>
    <row r="290" spans="1:35" ht="16.5" thickTop="1" thickBot="1" x14ac:dyDescent="0.4">
      <c r="A290" s="66"/>
      <c r="B290" s="1671" t="str">
        <f>$B$69</f>
        <v>31 Desember 2019</v>
      </c>
      <c r="C290" s="1671"/>
      <c r="D290" s="1671"/>
      <c r="E290" s="1671"/>
      <c r="F290" s="1671"/>
      <c r="G290" s="1671"/>
      <c r="H290" s="1671"/>
      <c r="I290" s="230"/>
      <c r="J290" s="1672" t="str">
        <f>$J$69</f>
        <v>31 Desember 2018</v>
      </c>
      <c r="K290" s="1671"/>
      <c r="L290" s="1671"/>
      <c r="M290" s="1671"/>
      <c r="N290" s="221"/>
      <c r="O290" s="221"/>
      <c r="P290" s="221"/>
      <c r="Q290" s="221"/>
      <c r="R290" s="221"/>
      <c r="S290" s="221"/>
      <c r="T290" s="221"/>
      <c r="U290" s="221"/>
      <c r="V290" s="221"/>
      <c r="W290" s="221"/>
      <c r="X290" s="221"/>
      <c r="Y290" s="221"/>
      <c r="Z290" s="221"/>
      <c r="AA290" s="221"/>
      <c r="AB290" s="221"/>
      <c r="AC290" s="221"/>
      <c r="AD290" s="223"/>
      <c r="AE290" s="83"/>
      <c r="AF290" s="341"/>
      <c r="AG290" s="70"/>
      <c r="AH290" s="83"/>
      <c r="AI290" s="82"/>
    </row>
    <row r="291" spans="1:35" ht="20.5" thickTop="1" x14ac:dyDescent="0.3">
      <c r="A291" s="66"/>
      <c r="B291" s="1668" t="s">
        <v>1653</v>
      </c>
      <c r="C291" s="1669"/>
      <c r="D291" s="1669"/>
      <c r="E291" s="1669"/>
      <c r="F291" s="1669"/>
      <c r="G291" s="1669"/>
      <c r="H291" s="1669"/>
      <c r="I291" s="1669"/>
      <c r="J291" s="1669"/>
      <c r="K291" s="1669"/>
      <c r="L291" s="1669"/>
      <c r="M291" s="1670"/>
      <c r="N291" s="221"/>
      <c r="O291" s="221"/>
      <c r="P291" s="221"/>
      <c r="Q291" s="221"/>
      <c r="R291" s="221"/>
      <c r="S291" s="221"/>
      <c r="T291" s="221"/>
      <c r="U291" s="221"/>
      <c r="V291" s="221"/>
      <c r="W291" s="221"/>
      <c r="X291" s="221"/>
      <c r="Y291" s="221"/>
      <c r="Z291" s="221"/>
      <c r="AA291" s="221"/>
      <c r="AB291" s="221"/>
      <c r="AC291" s="221"/>
      <c r="AD291" s="223"/>
      <c r="AE291" s="83"/>
      <c r="AF291" s="341"/>
      <c r="AG291" s="70"/>
      <c r="AH291" s="83"/>
      <c r="AI291" s="82"/>
    </row>
    <row r="292" spans="1:35" ht="15.5" x14ac:dyDescent="0.3">
      <c r="A292" s="66"/>
      <c r="B292" s="1710"/>
      <c r="C292" s="1601"/>
      <c r="D292" s="1584" t="s">
        <v>46</v>
      </c>
      <c r="E292" s="1713"/>
      <c r="F292" s="1585"/>
      <c r="G292" s="1189" t="s">
        <v>175</v>
      </c>
      <c r="H292" s="1190" t="s">
        <v>183</v>
      </c>
      <c r="I292" s="1191"/>
      <c r="J292" s="1584" t="s">
        <v>46</v>
      </c>
      <c r="K292" s="1585"/>
      <c r="L292" s="1189" t="s">
        <v>175</v>
      </c>
      <c r="M292" s="1192" t="s">
        <v>183</v>
      </c>
      <c r="N292" s="221"/>
      <c r="O292" s="221"/>
      <c r="P292" s="221"/>
      <c r="Q292" s="221"/>
      <c r="R292" s="221"/>
      <c r="S292" s="221"/>
      <c r="T292" s="221"/>
      <c r="U292" s="221"/>
      <c r="V292" s="221"/>
      <c r="W292" s="221"/>
      <c r="X292" s="221"/>
      <c r="Y292" s="221"/>
      <c r="Z292" s="221"/>
      <c r="AA292" s="221"/>
      <c r="AB292" s="221"/>
      <c r="AC292" s="221"/>
      <c r="AD292" s="223"/>
      <c r="AE292" s="83"/>
      <c r="AF292" s="341"/>
      <c r="AG292" s="70"/>
      <c r="AH292" s="83"/>
      <c r="AI292" s="82"/>
    </row>
    <row r="293" spans="1:35" ht="15.5" x14ac:dyDescent="0.3">
      <c r="A293" s="66"/>
      <c r="B293" s="1710" t="s">
        <v>1654</v>
      </c>
      <c r="C293" s="1601"/>
      <c r="D293" s="2908">
        <v>411140900</v>
      </c>
      <c r="E293" s="2909"/>
      <c r="F293" s="2910"/>
      <c r="G293" s="1202"/>
      <c r="H293" s="1194">
        <f>D293-G293</f>
        <v>411140900</v>
      </c>
      <c r="I293" s="1195"/>
      <c r="J293" s="1589">
        <v>44676900</v>
      </c>
      <c r="K293" s="1590"/>
      <c r="L293" s="1219"/>
      <c r="M293" s="1197">
        <f>J293-L293</f>
        <v>44676900</v>
      </c>
      <c r="N293" s="221"/>
      <c r="O293" s="221"/>
      <c r="P293" s="221"/>
      <c r="Q293" s="221"/>
      <c r="R293" s="221"/>
      <c r="S293" s="221"/>
      <c r="T293" s="221"/>
      <c r="U293" s="221"/>
      <c r="V293" s="221"/>
      <c r="W293" s="221"/>
      <c r="X293" s="221"/>
      <c r="Y293" s="221"/>
      <c r="Z293" s="221"/>
      <c r="AA293" s="221"/>
      <c r="AB293" s="221"/>
      <c r="AC293" s="221"/>
      <c r="AD293" s="223"/>
      <c r="AE293" s="83"/>
      <c r="AF293" s="341"/>
      <c r="AG293" s="70"/>
      <c r="AH293" s="83"/>
      <c r="AI293" s="82"/>
    </row>
    <row r="294" spans="1:35" ht="15.5" x14ac:dyDescent="0.3">
      <c r="A294" s="66"/>
      <c r="B294" s="1710" t="s">
        <v>1655</v>
      </c>
      <c r="C294" s="1601"/>
      <c r="D294" s="1586"/>
      <c r="E294" s="1587"/>
      <c r="F294" s="1588"/>
      <c r="G294" s="1202"/>
      <c r="H294" s="1194">
        <f t="shared" ref="H294:H301" si="22">D294-G294</f>
        <v>0</v>
      </c>
      <c r="I294" s="1195"/>
      <c r="J294" s="1703"/>
      <c r="K294" s="1704"/>
      <c r="L294" s="1219"/>
      <c r="M294" s="1197">
        <f t="shared" ref="M294:M301" si="23">J294-L294</f>
        <v>0</v>
      </c>
      <c r="N294" s="221"/>
      <c r="O294" s="221"/>
      <c r="P294" s="221"/>
      <c r="Q294" s="221"/>
      <c r="R294" s="221"/>
      <c r="S294" s="221"/>
      <c r="T294" s="221"/>
      <c r="U294" s="221"/>
      <c r="V294" s="221"/>
      <c r="W294" s="221"/>
      <c r="X294" s="221"/>
      <c r="Y294" s="221"/>
      <c r="Z294" s="221"/>
      <c r="AA294" s="221"/>
      <c r="AB294" s="221"/>
      <c r="AC294" s="221"/>
      <c r="AD294" s="223"/>
      <c r="AE294" s="83"/>
      <c r="AF294" s="341"/>
      <c r="AG294" s="70"/>
      <c r="AH294" s="83"/>
      <c r="AI294" s="82"/>
    </row>
    <row r="295" spans="1:35" ht="15.5" x14ac:dyDescent="0.3">
      <c r="A295" s="66"/>
      <c r="B295" s="1710" t="s">
        <v>1656</v>
      </c>
      <c r="C295" s="1601"/>
      <c r="D295" s="1586"/>
      <c r="E295" s="1587"/>
      <c r="F295" s="1588"/>
      <c r="G295" s="1202"/>
      <c r="H295" s="1194">
        <f t="shared" si="22"/>
        <v>0</v>
      </c>
      <c r="I295" s="1195"/>
      <c r="J295" s="1703"/>
      <c r="K295" s="1704"/>
      <c r="L295" s="1219"/>
      <c r="M295" s="1197">
        <f t="shared" si="23"/>
        <v>0</v>
      </c>
      <c r="N295" s="221"/>
      <c r="O295" s="221"/>
      <c r="P295" s="221"/>
      <c r="Q295" s="221"/>
      <c r="R295" s="221"/>
      <c r="S295" s="221"/>
      <c r="T295" s="221"/>
      <c r="U295" s="221"/>
      <c r="V295" s="221"/>
      <c r="W295" s="221"/>
      <c r="X295" s="221"/>
      <c r="Y295" s="221"/>
      <c r="Z295" s="221"/>
      <c r="AA295" s="221"/>
      <c r="AB295" s="221"/>
      <c r="AC295" s="221"/>
      <c r="AD295" s="223"/>
      <c r="AE295" s="83"/>
      <c r="AF295" s="341"/>
      <c r="AG295" s="70"/>
      <c r="AH295" s="83"/>
      <c r="AI295" s="82"/>
    </row>
    <row r="296" spans="1:35" ht="15.5" x14ac:dyDescent="0.3">
      <c r="A296" s="66"/>
      <c r="B296" s="1710" t="s">
        <v>1657</v>
      </c>
      <c r="C296" s="1601"/>
      <c r="D296" s="1586"/>
      <c r="E296" s="1587"/>
      <c r="F296" s="1588"/>
      <c r="G296" s="1202"/>
      <c r="H296" s="1194">
        <f t="shared" si="22"/>
        <v>0</v>
      </c>
      <c r="I296" s="1195"/>
      <c r="J296" s="1703"/>
      <c r="K296" s="1704"/>
      <c r="L296" s="1219"/>
      <c r="M296" s="1197">
        <f t="shared" si="23"/>
        <v>0</v>
      </c>
      <c r="N296" s="221"/>
      <c r="O296" s="221"/>
      <c r="P296" s="221"/>
      <c r="Q296" s="221"/>
      <c r="R296" s="221"/>
      <c r="S296" s="221"/>
      <c r="T296" s="221"/>
      <c r="U296" s="221"/>
      <c r="V296" s="221"/>
      <c r="W296" s="221"/>
      <c r="X296" s="221"/>
      <c r="Y296" s="221"/>
      <c r="Z296" s="221"/>
      <c r="AA296" s="221"/>
      <c r="AB296" s="221"/>
      <c r="AC296" s="221"/>
      <c r="AD296" s="223"/>
      <c r="AE296" s="83"/>
      <c r="AF296" s="341"/>
      <c r="AG296" s="70"/>
      <c r="AH296" s="83"/>
      <c r="AI296" s="82"/>
    </row>
    <row r="297" spans="1:35" ht="15.5" x14ac:dyDescent="0.3">
      <c r="A297" s="66"/>
      <c r="B297" s="1710" t="s">
        <v>1658</v>
      </c>
      <c r="C297" s="1601"/>
      <c r="D297" s="1586"/>
      <c r="E297" s="1587"/>
      <c r="F297" s="1588"/>
      <c r="G297" s="1202"/>
      <c r="H297" s="1194">
        <f t="shared" si="22"/>
        <v>0</v>
      </c>
      <c r="I297" s="1195"/>
      <c r="J297" s="1703"/>
      <c r="K297" s="1704"/>
      <c r="L297" s="1219"/>
      <c r="M297" s="1197">
        <f t="shared" si="23"/>
        <v>0</v>
      </c>
      <c r="N297" s="221"/>
      <c r="O297" s="221"/>
      <c r="P297" s="221"/>
      <c r="Q297" s="221"/>
      <c r="R297" s="221"/>
      <c r="S297" s="221"/>
      <c r="T297" s="221"/>
      <c r="U297" s="221"/>
      <c r="V297" s="221"/>
      <c r="W297" s="221"/>
      <c r="X297" s="221"/>
      <c r="Y297" s="221"/>
      <c r="Z297" s="221"/>
      <c r="AA297" s="221"/>
      <c r="AB297" s="221"/>
      <c r="AC297" s="221"/>
      <c r="AD297" s="223"/>
      <c r="AE297" s="83"/>
      <c r="AF297" s="341"/>
      <c r="AG297" s="70"/>
      <c r="AH297" s="83"/>
      <c r="AI297" s="82"/>
    </row>
    <row r="298" spans="1:35" ht="15.5" x14ac:dyDescent="0.3">
      <c r="A298" s="66"/>
      <c r="B298" s="1710" t="s">
        <v>1659</v>
      </c>
      <c r="C298" s="1601"/>
      <c r="D298" s="1586"/>
      <c r="E298" s="1587"/>
      <c r="F298" s="1588"/>
      <c r="G298" s="1202"/>
      <c r="H298" s="1194">
        <f t="shared" si="22"/>
        <v>0</v>
      </c>
      <c r="I298" s="1195"/>
      <c r="J298" s="1703"/>
      <c r="K298" s="1704"/>
      <c r="L298" s="1219"/>
      <c r="M298" s="1197">
        <f t="shared" si="23"/>
        <v>0</v>
      </c>
      <c r="N298" s="221"/>
      <c r="O298" s="221"/>
      <c r="P298" s="221"/>
      <c r="Q298" s="221"/>
      <c r="R298" s="221"/>
      <c r="S298" s="221"/>
      <c r="T298" s="221"/>
      <c r="U298" s="221"/>
      <c r="V298" s="221"/>
      <c r="W298" s="221"/>
      <c r="X298" s="221"/>
      <c r="Y298" s="221"/>
      <c r="Z298" s="221"/>
      <c r="AA298" s="221"/>
      <c r="AB298" s="221"/>
      <c r="AC298" s="221"/>
      <c r="AD298" s="223"/>
      <c r="AE298" s="83"/>
      <c r="AF298" s="341"/>
      <c r="AG298" s="70"/>
      <c r="AH298" s="83"/>
      <c r="AI298" s="82"/>
    </row>
    <row r="299" spans="1:35" ht="15.5" x14ac:dyDescent="0.3">
      <c r="A299" s="66"/>
      <c r="B299" s="1710" t="s">
        <v>1660</v>
      </c>
      <c r="C299" s="1601"/>
      <c r="D299" s="1586"/>
      <c r="E299" s="1587"/>
      <c r="F299" s="1588"/>
      <c r="G299" s="1202"/>
      <c r="H299" s="1194">
        <f t="shared" si="22"/>
        <v>0</v>
      </c>
      <c r="I299" s="1195"/>
      <c r="J299" s="1703"/>
      <c r="K299" s="1704"/>
      <c r="L299" s="1219"/>
      <c r="M299" s="1197">
        <f t="shared" si="23"/>
        <v>0</v>
      </c>
      <c r="N299" s="221"/>
      <c r="O299" s="221"/>
      <c r="P299" s="221"/>
      <c r="Q299" s="221"/>
      <c r="R299" s="221"/>
      <c r="S299" s="221"/>
      <c r="T299" s="221"/>
      <c r="U299" s="221"/>
      <c r="V299" s="221"/>
      <c r="W299" s="221"/>
      <c r="X299" s="221"/>
      <c r="Y299" s="221"/>
      <c r="Z299" s="221"/>
      <c r="AA299" s="221"/>
      <c r="AB299" s="221"/>
      <c r="AC299" s="221"/>
      <c r="AD299" s="223"/>
      <c r="AE299" s="83"/>
      <c r="AF299" s="341"/>
      <c r="AG299" s="70"/>
      <c r="AH299" s="83"/>
      <c r="AI299" s="82"/>
    </row>
    <row r="300" spans="1:35" ht="15.5" x14ac:dyDescent="0.3">
      <c r="A300" s="66"/>
      <c r="B300" s="1673"/>
      <c r="C300" s="1674"/>
      <c r="D300" s="1586"/>
      <c r="E300" s="1587"/>
      <c r="F300" s="1588"/>
      <c r="G300" s="1202"/>
      <c r="H300" s="1194">
        <f t="shared" si="22"/>
        <v>0</v>
      </c>
      <c r="I300" s="1195"/>
      <c r="J300" s="1703"/>
      <c r="K300" s="1704"/>
      <c r="L300" s="1219"/>
      <c r="M300" s="1197">
        <f t="shared" si="23"/>
        <v>0</v>
      </c>
      <c r="N300" s="221"/>
      <c r="O300" s="221"/>
      <c r="P300" s="221"/>
      <c r="Q300" s="221"/>
      <c r="R300" s="221"/>
      <c r="S300" s="221"/>
      <c r="T300" s="221"/>
      <c r="U300" s="221"/>
      <c r="V300" s="221"/>
      <c r="W300" s="221"/>
      <c r="X300" s="221"/>
      <c r="Y300" s="221"/>
      <c r="Z300" s="221"/>
      <c r="AA300" s="221"/>
      <c r="AB300" s="221"/>
      <c r="AC300" s="221"/>
      <c r="AD300" s="223"/>
      <c r="AE300" s="83"/>
      <c r="AF300" s="341"/>
      <c r="AG300" s="70"/>
      <c r="AH300" s="83"/>
      <c r="AI300" s="82"/>
    </row>
    <row r="301" spans="1:35" ht="15.5" x14ac:dyDescent="0.3">
      <c r="A301" s="66"/>
      <c r="B301" s="1673"/>
      <c r="C301" s="1674"/>
      <c r="D301" s="1586"/>
      <c r="E301" s="1587"/>
      <c r="F301" s="1588"/>
      <c r="G301" s="1202"/>
      <c r="H301" s="1194">
        <f t="shared" si="22"/>
        <v>0</v>
      </c>
      <c r="I301" s="1195"/>
      <c r="J301" s="1703"/>
      <c r="K301" s="1704"/>
      <c r="L301" s="1219"/>
      <c r="M301" s="1197">
        <f t="shared" si="23"/>
        <v>0</v>
      </c>
      <c r="N301" s="221"/>
      <c r="O301" s="221"/>
      <c r="P301" s="221"/>
      <c r="Q301" s="221"/>
      <c r="R301" s="221"/>
      <c r="S301" s="221"/>
      <c r="T301" s="221"/>
      <c r="U301" s="221"/>
      <c r="V301" s="221"/>
      <c r="W301" s="221"/>
      <c r="X301" s="221"/>
      <c r="Y301" s="221"/>
      <c r="Z301" s="221"/>
      <c r="AA301" s="221"/>
      <c r="AB301" s="221"/>
      <c r="AC301" s="221"/>
      <c r="AD301" s="223"/>
      <c r="AE301" s="83"/>
      <c r="AF301" s="341"/>
      <c r="AG301" s="70"/>
      <c r="AH301" s="83"/>
      <c r="AI301" s="82"/>
    </row>
    <row r="302" spans="1:35" ht="16" thickBot="1" x14ac:dyDescent="0.35">
      <c r="A302" s="66"/>
      <c r="B302" s="1183" t="s">
        <v>116</v>
      </c>
      <c r="C302" s="1220"/>
      <c r="D302" s="1705">
        <f>SUM(D293:F301)</f>
        <v>411140900</v>
      </c>
      <c r="E302" s="1706"/>
      <c r="F302" s="1707"/>
      <c r="G302" s="1221">
        <f>SUM(G293:G301)</f>
        <v>0</v>
      </c>
      <c r="H302" s="1222">
        <f>SUM(H293:H301)</f>
        <v>411140900</v>
      </c>
      <c r="I302" s="1218"/>
      <c r="J302" s="1708">
        <f>SUM(J293:K301)</f>
        <v>44676900</v>
      </c>
      <c r="K302" s="1709"/>
      <c r="L302" s="1223">
        <f>SUM(L293:L301)</f>
        <v>0</v>
      </c>
      <c r="M302" s="1223">
        <f>SUM(M293:M301)</f>
        <v>44676900</v>
      </c>
      <c r="N302" s="221"/>
      <c r="O302" s="221"/>
      <c r="P302" s="221"/>
      <c r="Q302" s="221"/>
      <c r="R302" s="221"/>
      <c r="S302" s="221"/>
      <c r="T302" s="221"/>
      <c r="U302" s="221"/>
      <c r="V302" s="221"/>
      <c r="W302" s="221"/>
      <c r="X302" s="221"/>
      <c r="Y302" s="221"/>
      <c r="Z302" s="221"/>
      <c r="AA302" s="221"/>
      <c r="AB302" s="221"/>
      <c r="AC302" s="221"/>
      <c r="AD302" s="223"/>
      <c r="AE302" s="83"/>
      <c r="AF302" s="341"/>
      <c r="AG302" s="70"/>
      <c r="AH302" s="83"/>
      <c r="AI302" s="82"/>
    </row>
    <row r="303" spans="1:35" ht="16.5" thickTop="1" thickBot="1" x14ac:dyDescent="0.4">
      <c r="A303" s="66"/>
      <c r="B303" s="1671" t="str">
        <f>$B$69</f>
        <v>31 Desember 2019</v>
      </c>
      <c r="C303" s="1671"/>
      <c r="D303" s="1671"/>
      <c r="E303" s="1671"/>
      <c r="F303" s="1671"/>
      <c r="G303" s="1671"/>
      <c r="H303" s="1671"/>
      <c r="I303" s="230"/>
      <c r="J303" s="1672" t="str">
        <f>$J$69</f>
        <v>31 Desember 2018</v>
      </c>
      <c r="K303" s="1671"/>
      <c r="L303" s="1671"/>
      <c r="M303" s="1671"/>
      <c r="N303" s="221"/>
      <c r="O303" s="221"/>
      <c r="P303" s="221"/>
      <c r="Q303" s="221"/>
      <c r="R303" s="221"/>
      <c r="S303" s="221"/>
      <c r="T303" s="221"/>
      <c r="U303" s="221"/>
      <c r="V303" s="221"/>
      <c r="W303" s="221"/>
      <c r="X303" s="221"/>
      <c r="Y303" s="221"/>
      <c r="Z303" s="221"/>
      <c r="AA303" s="221"/>
      <c r="AB303" s="221"/>
      <c r="AC303" s="221"/>
      <c r="AD303" s="223"/>
      <c r="AE303" s="83"/>
      <c r="AG303" s="70"/>
      <c r="AH303" s="83"/>
      <c r="AI303" s="82"/>
    </row>
    <row r="304" spans="1:35" ht="20.5" thickTop="1" x14ac:dyDescent="0.3">
      <c r="A304" s="66"/>
      <c r="B304" s="1668" t="s">
        <v>236</v>
      </c>
      <c r="C304" s="1669"/>
      <c r="D304" s="1669"/>
      <c r="E304" s="1669"/>
      <c r="F304" s="1669"/>
      <c r="G304" s="1669"/>
      <c r="H304" s="1669"/>
      <c r="I304" s="1669"/>
      <c r="J304" s="1669"/>
      <c r="K304" s="1669"/>
      <c r="L304" s="1669"/>
      <c r="M304" s="1670"/>
      <c r="N304" s="221"/>
      <c r="O304" s="221"/>
      <c r="P304" s="221"/>
      <c r="Q304" s="221"/>
      <c r="R304" s="221"/>
      <c r="S304" s="221"/>
      <c r="T304" s="221"/>
      <c r="U304" s="221"/>
      <c r="V304" s="221"/>
      <c r="W304" s="221"/>
      <c r="X304" s="221"/>
      <c r="Y304" s="221"/>
      <c r="Z304" s="221"/>
      <c r="AA304" s="221"/>
      <c r="AB304" s="221"/>
      <c r="AC304" s="221"/>
      <c r="AD304" s="223"/>
      <c r="AE304" s="83"/>
      <c r="AG304" s="70"/>
      <c r="AH304" s="83"/>
      <c r="AI304" s="82"/>
    </row>
    <row r="305" spans="1:35" ht="15.5" x14ac:dyDescent="0.3">
      <c r="A305" s="66"/>
      <c r="B305" s="1710"/>
      <c r="C305" s="1601"/>
      <c r="D305" s="1584" t="s">
        <v>46</v>
      </c>
      <c r="E305" s="1713"/>
      <c r="F305" s="1585"/>
      <c r="G305" s="1189" t="s">
        <v>175</v>
      </c>
      <c r="H305" s="1190" t="s">
        <v>183</v>
      </c>
      <c r="I305" s="1216"/>
      <c r="J305" s="1584" t="s">
        <v>46</v>
      </c>
      <c r="K305" s="1585"/>
      <c r="L305" s="1189" t="s">
        <v>175</v>
      </c>
      <c r="M305" s="1192" t="s">
        <v>183</v>
      </c>
      <c r="N305" s="221"/>
      <c r="O305" s="221"/>
      <c r="P305" s="221"/>
      <c r="Q305" s="221"/>
      <c r="R305" s="221"/>
      <c r="S305" s="221"/>
      <c r="T305" s="221"/>
      <c r="U305" s="221"/>
      <c r="V305" s="221"/>
      <c r="W305" s="221"/>
      <c r="X305" s="221"/>
      <c r="Y305" s="221"/>
      <c r="Z305" s="221"/>
      <c r="AA305" s="221"/>
      <c r="AB305" s="221"/>
      <c r="AC305" s="221"/>
      <c r="AD305" s="223"/>
      <c r="AE305" s="83"/>
      <c r="AG305" s="70"/>
      <c r="AH305" s="83"/>
      <c r="AI305" s="82"/>
    </row>
    <row r="306" spans="1:35" x14ac:dyDescent="0.3">
      <c r="A306" s="66"/>
      <c r="B306" s="1710">
        <v>522111</v>
      </c>
      <c r="C306" s="1601"/>
      <c r="D306" s="2067">
        <v>75638600</v>
      </c>
      <c r="E306" s="2070"/>
      <c r="F306" s="2071"/>
      <c r="G306" s="1202"/>
      <c r="H306" s="1194">
        <f>D306-G306</f>
        <v>75638600</v>
      </c>
      <c r="I306" s="1195"/>
      <c r="J306" s="1659">
        <v>70427100</v>
      </c>
      <c r="K306" s="1660"/>
      <c r="L306" s="1196"/>
      <c r="M306" s="1197">
        <f t="shared" ref="M306:M318" si="24">J306-L306</f>
        <v>70427100</v>
      </c>
      <c r="N306" s="221"/>
      <c r="O306" s="221"/>
      <c r="P306" s="221"/>
      <c r="Q306" s="221"/>
      <c r="R306" s="221"/>
      <c r="S306" s="221"/>
      <c r="T306" s="221"/>
      <c r="U306" s="221"/>
      <c r="V306" s="221"/>
      <c r="W306" s="221"/>
      <c r="X306" s="221"/>
      <c r="Y306" s="221"/>
      <c r="Z306" s="221"/>
      <c r="AA306" s="221"/>
      <c r="AB306" s="221"/>
      <c r="AC306" s="221"/>
      <c r="AD306" s="223"/>
      <c r="AE306" s="83"/>
      <c r="AF306" s="2103">
        <v>522111</v>
      </c>
      <c r="AG306" s="2103"/>
      <c r="AH306" s="83"/>
      <c r="AI306" s="82"/>
    </row>
    <row r="307" spans="1:35" x14ac:dyDescent="0.3">
      <c r="A307" s="66"/>
      <c r="B307" s="1710">
        <v>522112</v>
      </c>
      <c r="C307" s="1601"/>
      <c r="D307" s="2067">
        <v>39923600</v>
      </c>
      <c r="E307" s="2070"/>
      <c r="F307" s="2071"/>
      <c r="G307" s="1206"/>
      <c r="H307" s="1194">
        <f t="shared" ref="H307:H318" si="25">D307-G307</f>
        <v>39923600</v>
      </c>
      <c r="I307" s="1195"/>
      <c r="J307" s="1659">
        <v>52267100</v>
      </c>
      <c r="K307" s="1660"/>
      <c r="L307" s="1196"/>
      <c r="M307" s="1197">
        <f t="shared" si="24"/>
        <v>52267100</v>
      </c>
      <c r="N307" s="221"/>
      <c r="O307" s="221"/>
      <c r="P307" s="221"/>
      <c r="Q307" s="221"/>
      <c r="R307" s="221"/>
      <c r="S307" s="221"/>
      <c r="T307" s="221"/>
      <c r="U307" s="221"/>
      <c r="V307" s="221"/>
      <c r="W307" s="221"/>
      <c r="X307" s="221"/>
      <c r="Y307" s="221"/>
      <c r="Z307" s="221"/>
      <c r="AA307" s="221"/>
      <c r="AB307" s="221"/>
      <c r="AC307" s="221"/>
      <c r="AD307" s="223"/>
      <c r="AE307" s="83"/>
      <c r="AF307" s="2103">
        <v>522112</v>
      </c>
      <c r="AG307" s="2103"/>
      <c r="AH307" s="83"/>
      <c r="AI307" s="82"/>
    </row>
    <row r="308" spans="1:35" x14ac:dyDescent="0.3">
      <c r="A308" s="66"/>
      <c r="B308" s="1710">
        <v>522113</v>
      </c>
      <c r="C308" s="1601"/>
      <c r="D308" s="2067">
        <v>152400</v>
      </c>
      <c r="E308" s="2070"/>
      <c r="F308" s="2071"/>
      <c r="G308" s="1206"/>
      <c r="H308" s="1194">
        <f t="shared" si="25"/>
        <v>152400</v>
      </c>
      <c r="I308" s="1195"/>
      <c r="J308" s="1659">
        <v>174100</v>
      </c>
      <c r="K308" s="1660"/>
      <c r="L308" s="1196"/>
      <c r="M308" s="1197">
        <f t="shared" si="24"/>
        <v>174100</v>
      </c>
      <c r="N308" s="221"/>
      <c r="O308" s="221"/>
      <c r="P308" s="221"/>
      <c r="Q308" s="221"/>
      <c r="R308" s="221"/>
      <c r="S308" s="221"/>
      <c r="T308" s="221"/>
      <c r="U308" s="221"/>
      <c r="V308" s="221"/>
      <c r="W308" s="221"/>
      <c r="X308" s="221"/>
      <c r="Y308" s="221"/>
      <c r="Z308" s="221"/>
      <c r="AA308" s="221"/>
      <c r="AB308" s="221"/>
      <c r="AC308" s="221"/>
      <c r="AD308" s="223"/>
      <c r="AE308" s="83"/>
      <c r="AF308" s="2103">
        <v>522113</v>
      </c>
      <c r="AG308" s="2103"/>
      <c r="AH308" s="83"/>
      <c r="AI308" s="82"/>
    </row>
    <row r="309" spans="1:35" x14ac:dyDescent="0.3">
      <c r="A309" s="66"/>
      <c r="B309" s="1710">
        <v>522114</v>
      </c>
      <c r="C309" s="1601"/>
      <c r="D309" s="2067"/>
      <c r="E309" s="2070"/>
      <c r="F309" s="2071"/>
      <c r="G309" s="1206"/>
      <c r="H309" s="1194">
        <f t="shared" si="25"/>
        <v>0</v>
      </c>
      <c r="I309" s="1195"/>
      <c r="J309" s="1659"/>
      <c r="K309" s="1660"/>
      <c r="L309" s="1196"/>
      <c r="M309" s="1197">
        <f t="shared" si="24"/>
        <v>0</v>
      </c>
      <c r="N309" s="221"/>
      <c r="O309" s="221"/>
      <c r="P309" s="221"/>
      <c r="Q309" s="221"/>
      <c r="R309" s="221"/>
      <c r="S309" s="221"/>
      <c r="T309" s="221"/>
      <c r="U309" s="221"/>
      <c r="V309" s="221"/>
      <c r="W309" s="221"/>
      <c r="X309" s="221"/>
      <c r="Y309" s="221"/>
      <c r="Z309" s="221"/>
      <c r="AA309" s="221"/>
      <c r="AB309" s="221"/>
      <c r="AC309" s="221"/>
      <c r="AD309" s="223"/>
      <c r="AE309" s="83"/>
      <c r="AF309" s="2103">
        <v>522114</v>
      </c>
      <c r="AG309" s="2103"/>
      <c r="AH309" s="83"/>
      <c r="AI309" s="82"/>
    </row>
    <row r="310" spans="1:35" x14ac:dyDescent="0.3">
      <c r="A310" s="66"/>
      <c r="B310" s="1710">
        <v>522115</v>
      </c>
      <c r="C310" s="1601"/>
      <c r="D310" s="2067"/>
      <c r="E310" s="2068"/>
      <c r="F310" s="2069"/>
      <c r="G310" s="1206"/>
      <c r="H310" s="1194">
        <f t="shared" si="25"/>
        <v>0</v>
      </c>
      <c r="I310" s="1195"/>
      <c r="J310" s="1659"/>
      <c r="K310" s="1649"/>
      <c r="L310" s="1196"/>
      <c r="M310" s="1197">
        <f t="shared" si="24"/>
        <v>0</v>
      </c>
      <c r="N310" s="221"/>
      <c r="O310" s="221"/>
      <c r="P310" s="221"/>
      <c r="Q310" s="221"/>
      <c r="R310" s="221"/>
      <c r="S310" s="221"/>
      <c r="T310" s="221"/>
      <c r="U310" s="221"/>
      <c r="V310" s="221"/>
      <c r="W310" s="221"/>
      <c r="X310" s="221"/>
      <c r="Y310" s="221"/>
      <c r="Z310" s="221"/>
      <c r="AA310" s="221"/>
      <c r="AB310" s="221"/>
      <c r="AC310" s="221"/>
      <c r="AD310" s="223"/>
      <c r="AE310" s="83"/>
      <c r="AF310" s="2103">
        <v>522115</v>
      </c>
      <c r="AG310" s="2103"/>
      <c r="AH310" s="83"/>
      <c r="AI310" s="82"/>
    </row>
    <row r="311" spans="1:35" x14ac:dyDescent="0.3">
      <c r="A311" s="66"/>
      <c r="B311" s="1710">
        <v>522119</v>
      </c>
      <c r="C311" s="1601"/>
      <c r="D311" s="2067"/>
      <c r="E311" s="2068"/>
      <c r="F311" s="2069"/>
      <c r="G311" s="1206"/>
      <c r="H311" s="1194">
        <f t="shared" si="25"/>
        <v>0</v>
      </c>
      <c r="I311" s="1195"/>
      <c r="J311" s="1659"/>
      <c r="K311" s="1649"/>
      <c r="L311" s="1196"/>
      <c r="M311" s="1197">
        <f t="shared" si="24"/>
        <v>0</v>
      </c>
      <c r="N311" s="221"/>
      <c r="O311" s="221"/>
      <c r="P311" s="221"/>
      <c r="Q311" s="221"/>
      <c r="R311" s="221"/>
      <c r="S311" s="221"/>
      <c r="T311" s="221"/>
      <c r="U311" s="221"/>
      <c r="V311" s="221"/>
      <c r="W311" s="221"/>
      <c r="X311" s="221"/>
      <c r="Y311" s="221"/>
      <c r="Z311" s="221"/>
      <c r="AA311" s="221"/>
      <c r="AB311" s="221"/>
      <c r="AC311" s="221"/>
      <c r="AD311" s="82"/>
      <c r="AE311" s="83"/>
      <c r="AF311" s="2103">
        <v>522119</v>
      </c>
      <c r="AG311" s="2103"/>
      <c r="AH311" s="83"/>
      <c r="AI311" s="82"/>
    </row>
    <row r="312" spans="1:35" x14ac:dyDescent="0.3">
      <c r="A312" s="66"/>
      <c r="B312" s="1710">
        <v>522121</v>
      </c>
      <c r="C312" s="1601"/>
      <c r="D312" s="2067"/>
      <c r="E312" s="2068"/>
      <c r="F312" s="2069"/>
      <c r="G312" s="1206"/>
      <c r="H312" s="1194">
        <f t="shared" si="25"/>
        <v>0</v>
      </c>
      <c r="I312" s="1195"/>
      <c r="J312" s="1659"/>
      <c r="K312" s="1649"/>
      <c r="L312" s="1196"/>
      <c r="M312" s="1197">
        <f t="shared" si="24"/>
        <v>0</v>
      </c>
      <c r="N312" s="221"/>
      <c r="O312" s="221"/>
      <c r="P312" s="221"/>
      <c r="Q312" s="221"/>
      <c r="R312" s="221"/>
      <c r="S312" s="221"/>
      <c r="T312" s="221"/>
      <c r="U312" s="221"/>
      <c r="V312" s="221"/>
      <c r="W312" s="221"/>
      <c r="X312" s="221"/>
      <c r="Y312" s="221"/>
      <c r="Z312" s="221"/>
      <c r="AA312" s="221"/>
      <c r="AB312" s="221"/>
      <c r="AC312" s="221"/>
      <c r="AD312" s="82"/>
      <c r="AE312" s="83"/>
      <c r="AF312" s="2103">
        <v>522121</v>
      </c>
      <c r="AG312" s="2103"/>
      <c r="AH312" s="83"/>
      <c r="AI312" s="82"/>
    </row>
    <row r="313" spans="1:35" x14ac:dyDescent="0.3">
      <c r="A313" s="66"/>
      <c r="B313" s="1710">
        <v>522131</v>
      </c>
      <c r="C313" s="1601"/>
      <c r="D313" s="2067"/>
      <c r="E313" s="2068"/>
      <c r="F313" s="2069"/>
      <c r="G313" s="1206"/>
      <c r="H313" s="1194">
        <f t="shared" si="25"/>
        <v>0</v>
      </c>
      <c r="I313" s="1195"/>
      <c r="J313" s="1659"/>
      <c r="K313" s="1649"/>
      <c r="L313" s="1196"/>
      <c r="M313" s="1197">
        <f t="shared" si="24"/>
        <v>0</v>
      </c>
      <c r="N313" s="221"/>
      <c r="O313" s="221"/>
      <c r="P313" s="221"/>
      <c r="Q313" s="221"/>
      <c r="R313" s="221"/>
      <c r="S313" s="221"/>
      <c r="T313" s="221"/>
      <c r="U313" s="221"/>
      <c r="V313" s="221"/>
      <c r="W313" s="221"/>
      <c r="X313" s="221"/>
      <c r="Y313" s="221"/>
      <c r="Z313" s="221"/>
      <c r="AA313" s="221"/>
      <c r="AB313" s="221"/>
      <c r="AC313" s="221"/>
      <c r="AD313" s="82"/>
      <c r="AE313" s="83"/>
      <c r="AF313" s="2103">
        <v>522131</v>
      </c>
      <c r="AG313" s="2103"/>
      <c r="AH313" s="83"/>
      <c r="AI313" s="82"/>
    </row>
    <row r="314" spans="1:35" x14ac:dyDescent="0.3">
      <c r="A314" s="66"/>
      <c r="B314" s="1710">
        <v>522141</v>
      </c>
      <c r="C314" s="1601"/>
      <c r="D314" s="2067">
        <v>53345000</v>
      </c>
      <c r="E314" s="2068"/>
      <c r="F314" s="2069"/>
      <c r="G314" s="1206"/>
      <c r="H314" s="1194">
        <f t="shared" si="25"/>
        <v>53345000</v>
      </c>
      <c r="I314" s="1195"/>
      <c r="J314" s="1659">
        <v>116094000</v>
      </c>
      <c r="K314" s="1649"/>
      <c r="L314" s="1196"/>
      <c r="M314" s="1197">
        <f t="shared" si="24"/>
        <v>116094000</v>
      </c>
      <c r="N314" s="221"/>
      <c r="O314" s="221"/>
      <c r="P314" s="221"/>
      <c r="Q314" s="221"/>
      <c r="R314" s="221"/>
      <c r="S314" s="221"/>
      <c r="T314" s="221"/>
      <c r="U314" s="221"/>
      <c r="V314" s="221"/>
      <c r="W314" s="221"/>
      <c r="X314" s="221"/>
      <c r="Y314" s="221"/>
      <c r="Z314" s="221"/>
      <c r="AA314" s="221"/>
      <c r="AB314" s="221"/>
      <c r="AC314" s="221"/>
      <c r="AD314" s="82"/>
      <c r="AE314" s="83"/>
      <c r="AF314" s="2103">
        <v>522141</v>
      </c>
      <c r="AG314" s="2103"/>
      <c r="AH314" s="83"/>
      <c r="AI314" s="82"/>
    </row>
    <row r="315" spans="1:35" x14ac:dyDescent="0.3">
      <c r="A315" s="66"/>
      <c r="B315" s="1710">
        <v>522151</v>
      </c>
      <c r="C315" s="1601"/>
      <c r="D315" s="2067">
        <v>141600000</v>
      </c>
      <c r="E315" s="2068"/>
      <c r="F315" s="2069"/>
      <c r="G315" s="1206"/>
      <c r="H315" s="1194">
        <f t="shared" si="25"/>
        <v>141600000</v>
      </c>
      <c r="I315" s="1195"/>
      <c r="J315" s="1659">
        <v>157500000</v>
      </c>
      <c r="K315" s="1649"/>
      <c r="L315" s="1196"/>
      <c r="M315" s="1197">
        <f t="shared" si="24"/>
        <v>157500000</v>
      </c>
      <c r="N315" s="221"/>
      <c r="O315" s="221"/>
      <c r="P315" s="221"/>
      <c r="Q315" s="221"/>
      <c r="R315" s="221"/>
      <c r="S315" s="221"/>
      <c r="T315" s="221"/>
      <c r="U315" s="221"/>
      <c r="V315" s="221"/>
      <c r="W315" s="221"/>
      <c r="X315" s="221"/>
      <c r="Y315" s="221"/>
      <c r="Z315" s="221"/>
      <c r="AA315" s="221"/>
      <c r="AB315" s="221"/>
      <c r="AC315" s="221"/>
      <c r="AD315" s="82"/>
      <c r="AE315" s="83"/>
      <c r="AF315" s="2103">
        <v>522151</v>
      </c>
      <c r="AG315" s="2103"/>
      <c r="AH315" s="83"/>
      <c r="AI315" s="82"/>
    </row>
    <row r="316" spans="1:35" x14ac:dyDescent="0.3">
      <c r="A316" s="66"/>
      <c r="B316" s="1710">
        <v>522191</v>
      </c>
      <c r="C316" s="1601"/>
      <c r="D316" s="1586">
        <v>472000000</v>
      </c>
      <c r="E316" s="1648"/>
      <c r="F316" s="1649"/>
      <c r="G316" s="1206"/>
      <c r="H316" s="1194">
        <f t="shared" si="25"/>
        <v>472000000</v>
      </c>
      <c r="I316" s="1195"/>
      <c r="J316" s="1659">
        <v>295500000</v>
      </c>
      <c r="K316" s="1649"/>
      <c r="L316" s="1196"/>
      <c r="M316" s="1197">
        <f t="shared" si="24"/>
        <v>295500000</v>
      </c>
      <c r="N316" s="221"/>
      <c r="O316" s="221"/>
      <c r="P316" s="221"/>
      <c r="Q316" s="221"/>
      <c r="R316" s="221"/>
      <c r="S316" s="221"/>
      <c r="T316" s="221"/>
      <c r="U316" s="221"/>
      <c r="V316" s="221"/>
      <c r="W316" s="221"/>
      <c r="X316" s="221"/>
      <c r="Y316" s="221"/>
      <c r="Z316" s="221"/>
      <c r="AA316" s="221"/>
      <c r="AB316" s="221"/>
      <c r="AC316" s="221"/>
      <c r="AD316" s="82"/>
      <c r="AE316" s="83"/>
      <c r="AF316" s="2103">
        <v>522191</v>
      </c>
      <c r="AG316" s="2103"/>
      <c r="AH316" s="83"/>
      <c r="AI316" s="82"/>
    </row>
    <row r="317" spans="1:35" ht="15.5" x14ac:dyDescent="0.3">
      <c r="A317" s="66"/>
      <c r="B317" s="1673"/>
      <c r="C317" s="1674"/>
      <c r="D317" s="1586"/>
      <c r="E317" s="1587"/>
      <c r="F317" s="1588"/>
      <c r="G317" s="1206"/>
      <c r="H317" s="1194">
        <f t="shared" si="25"/>
        <v>0</v>
      </c>
      <c r="I317" s="1195"/>
      <c r="J317" s="1659"/>
      <c r="K317" s="1660"/>
      <c r="L317" s="1196"/>
      <c r="M317" s="1197">
        <f t="shared" si="24"/>
        <v>0</v>
      </c>
      <c r="N317" s="221"/>
      <c r="O317" s="221"/>
      <c r="P317" s="221"/>
      <c r="Q317" s="221"/>
      <c r="R317" s="221"/>
      <c r="S317" s="221"/>
      <c r="T317" s="221"/>
      <c r="U317" s="221"/>
      <c r="V317" s="221"/>
      <c r="W317" s="221"/>
      <c r="X317" s="221"/>
      <c r="Y317" s="221"/>
      <c r="Z317" s="221"/>
      <c r="AA317" s="221"/>
      <c r="AB317" s="221"/>
      <c r="AC317" s="221"/>
      <c r="AD317" s="82"/>
      <c r="AE317" s="83"/>
      <c r="AG317" s="70"/>
      <c r="AH317" s="83"/>
      <c r="AI317" s="82"/>
    </row>
    <row r="318" spans="1:35" ht="16" thickBot="1" x14ac:dyDescent="0.35">
      <c r="A318" s="66"/>
      <c r="B318" s="1664"/>
      <c r="C318" s="1665"/>
      <c r="D318" s="1586"/>
      <c r="E318" s="1587"/>
      <c r="F318" s="1588"/>
      <c r="G318" s="1206"/>
      <c r="H318" s="1194">
        <f t="shared" si="25"/>
        <v>0</v>
      </c>
      <c r="I318" s="1195"/>
      <c r="J318" s="1659"/>
      <c r="K318" s="1660"/>
      <c r="L318" s="1196"/>
      <c r="M318" s="1197">
        <f t="shared" si="24"/>
        <v>0</v>
      </c>
      <c r="N318" s="221"/>
      <c r="O318" s="221"/>
      <c r="P318" s="221"/>
      <c r="Q318" s="221"/>
      <c r="R318" s="221"/>
      <c r="S318" s="221"/>
      <c r="T318" s="221"/>
      <c r="U318" s="221"/>
      <c r="V318" s="221"/>
      <c r="W318" s="221"/>
      <c r="X318" s="221"/>
      <c r="Y318" s="221"/>
      <c r="Z318" s="221"/>
      <c r="AA318" s="221"/>
      <c r="AB318" s="221"/>
      <c r="AC318" s="221"/>
      <c r="AD318" s="82"/>
      <c r="AE318" s="83"/>
      <c r="AG318" s="70"/>
      <c r="AH318" s="83"/>
      <c r="AI318" s="82"/>
    </row>
    <row r="319" spans="1:35" ht="16.5" thickTop="1" thickBot="1" x14ac:dyDescent="0.35">
      <c r="A319" s="66"/>
      <c r="B319" s="1214" t="s">
        <v>116</v>
      </c>
      <c r="C319" s="1215"/>
      <c r="D319" s="1591">
        <f>SUM(D306:F318)</f>
        <v>782659600</v>
      </c>
      <c r="E319" s="1592"/>
      <c r="F319" s="1593"/>
      <c r="G319" s="1185">
        <f>SUM(G306:G318)</f>
        <v>0</v>
      </c>
      <c r="H319" s="1186">
        <f>SUM(H306:H318)</f>
        <v>782659600</v>
      </c>
      <c r="I319" s="1187"/>
      <c r="J319" s="1666">
        <f>SUM(J306:K318)</f>
        <v>691962300</v>
      </c>
      <c r="K319" s="1667"/>
      <c r="L319" s="1188">
        <f>SUM(L306:L318)</f>
        <v>0</v>
      </c>
      <c r="M319" s="1188">
        <f>SUM(M306:M318)</f>
        <v>691962300</v>
      </c>
      <c r="N319" s="221"/>
      <c r="O319" s="221"/>
      <c r="P319" s="221"/>
      <c r="Q319" s="221"/>
      <c r="R319" s="221"/>
      <c r="S319" s="221"/>
      <c r="T319" s="221"/>
      <c r="U319" s="221"/>
      <c r="V319" s="221"/>
      <c r="W319" s="221"/>
      <c r="X319" s="221"/>
      <c r="Y319" s="221"/>
      <c r="Z319" s="221"/>
      <c r="AA319" s="221"/>
      <c r="AB319" s="221"/>
      <c r="AC319" s="221"/>
      <c r="AD319" s="82"/>
      <c r="AE319" s="83"/>
      <c r="AG319" s="70"/>
      <c r="AH319" s="83"/>
      <c r="AI319" s="82"/>
    </row>
    <row r="320" spans="1:35" ht="16.5" thickTop="1" thickBot="1" x14ac:dyDescent="0.4">
      <c r="A320" s="66"/>
      <c r="B320" s="1671" t="str">
        <f>$B$69</f>
        <v>31 Desember 2019</v>
      </c>
      <c r="C320" s="1671"/>
      <c r="D320" s="1671"/>
      <c r="E320" s="1671"/>
      <c r="F320" s="1671"/>
      <c r="G320" s="1671"/>
      <c r="H320" s="1671"/>
      <c r="I320" s="230"/>
      <c r="J320" s="1672" t="str">
        <f>$J$69</f>
        <v>31 Desember 2018</v>
      </c>
      <c r="K320" s="1671"/>
      <c r="L320" s="1671"/>
      <c r="M320" s="1671"/>
      <c r="N320" s="221"/>
      <c r="O320" s="221"/>
      <c r="P320" s="221"/>
      <c r="Q320" s="221"/>
      <c r="R320" s="221"/>
      <c r="S320" s="221"/>
      <c r="T320" s="221"/>
      <c r="U320" s="221"/>
      <c r="V320" s="221"/>
      <c r="W320" s="221"/>
      <c r="X320" s="221"/>
      <c r="Y320" s="221"/>
      <c r="Z320" s="221"/>
      <c r="AA320" s="221"/>
      <c r="AB320" s="221"/>
      <c r="AC320" s="221"/>
      <c r="AD320" s="82"/>
      <c r="AE320" s="83"/>
      <c r="AG320" s="70"/>
      <c r="AH320" s="83"/>
      <c r="AI320" s="82"/>
    </row>
    <row r="321" spans="1:35" ht="20.5" thickTop="1" x14ac:dyDescent="0.3">
      <c r="A321" s="66"/>
      <c r="B321" s="1668" t="s">
        <v>237</v>
      </c>
      <c r="C321" s="1669"/>
      <c r="D321" s="1669"/>
      <c r="E321" s="1669"/>
      <c r="F321" s="1669"/>
      <c r="G321" s="1669"/>
      <c r="H321" s="1669"/>
      <c r="I321" s="1669"/>
      <c r="J321" s="1669"/>
      <c r="K321" s="1669"/>
      <c r="L321" s="1669"/>
      <c r="M321" s="1670"/>
      <c r="N321" s="221"/>
      <c r="O321" s="221"/>
      <c r="P321" s="221"/>
      <c r="Q321" s="221"/>
      <c r="R321" s="221"/>
      <c r="S321" s="221"/>
      <c r="T321" s="221"/>
      <c r="U321" s="221"/>
      <c r="V321" s="221"/>
      <c r="W321" s="221"/>
      <c r="X321" s="221"/>
      <c r="Y321" s="221"/>
      <c r="Z321" s="221"/>
      <c r="AA321" s="221"/>
      <c r="AB321" s="221"/>
      <c r="AC321" s="221"/>
      <c r="AD321" s="82"/>
      <c r="AE321" s="83"/>
      <c r="AG321" s="70"/>
      <c r="AH321" s="83"/>
      <c r="AI321" s="82"/>
    </row>
    <row r="322" spans="1:35" ht="15.5" x14ac:dyDescent="0.3">
      <c r="A322" s="66"/>
      <c r="B322" s="1710"/>
      <c r="C322" s="1601"/>
      <c r="D322" s="1584" t="s">
        <v>46</v>
      </c>
      <c r="E322" s="1713"/>
      <c r="F322" s="1585"/>
      <c r="G322" s="1189" t="s">
        <v>175</v>
      </c>
      <c r="H322" s="1190" t="s">
        <v>183</v>
      </c>
      <c r="I322" s="1216"/>
      <c r="J322" s="1584" t="s">
        <v>46</v>
      </c>
      <c r="K322" s="1585"/>
      <c r="L322" s="1189" t="s">
        <v>175</v>
      </c>
      <c r="M322" s="1192" t="s">
        <v>183</v>
      </c>
      <c r="N322" s="221"/>
      <c r="O322" s="221"/>
      <c r="P322" s="221"/>
      <c r="Q322" s="221"/>
      <c r="R322" s="221"/>
      <c r="S322" s="221"/>
      <c r="T322" s="221"/>
      <c r="U322" s="221"/>
      <c r="V322" s="221"/>
      <c r="W322" s="221"/>
      <c r="X322" s="221"/>
      <c r="Y322" s="221"/>
      <c r="Z322" s="221"/>
      <c r="AA322" s="221"/>
      <c r="AB322" s="221"/>
      <c r="AC322" s="221"/>
      <c r="AD322" s="82"/>
      <c r="AE322" s="83"/>
      <c r="AG322" s="70"/>
      <c r="AH322" s="83"/>
      <c r="AI322" s="82"/>
    </row>
    <row r="323" spans="1:35" x14ac:dyDescent="0.3">
      <c r="A323" s="66"/>
      <c r="B323" s="1710">
        <v>523111</v>
      </c>
      <c r="C323" s="1601"/>
      <c r="D323" s="1586">
        <v>321559100</v>
      </c>
      <c r="E323" s="1587"/>
      <c r="F323" s="1588"/>
      <c r="G323" s="1202"/>
      <c r="H323" s="1194">
        <f>D323-G323</f>
        <v>321559100</v>
      </c>
      <c r="I323" s="1195"/>
      <c r="J323" s="1659">
        <v>444005000</v>
      </c>
      <c r="K323" s="1660"/>
      <c r="L323" s="1196"/>
      <c r="M323" s="1197">
        <f>J323-L323</f>
        <v>444005000</v>
      </c>
      <c r="N323" s="221"/>
      <c r="O323" s="221"/>
      <c r="P323" s="221"/>
      <c r="Q323" s="221"/>
      <c r="R323" s="221"/>
      <c r="S323" s="221"/>
      <c r="T323" s="221"/>
      <c r="U323" s="221"/>
      <c r="V323" s="221"/>
      <c r="W323" s="221"/>
      <c r="X323" s="221"/>
      <c r="Y323" s="221"/>
      <c r="Z323" s="221"/>
      <c r="AA323" s="221"/>
      <c r="AB323" s="221"/>
      <c r="AC323" s="221"/>
      <c r="AD323" s="82"/>
      <c r="AE323" s="83"/>
      <c r="AF323" s="2103">
        <v>523111</v>
      </c>
      <c r="AG323" s="2103"/>
      <c r="AH323" s="83"/>
      <c r="AI323" s="82"/>
    </row>
    <row r="324" spans="1:35" x14ac:dyDescent="0.3">
      <c r="A324" s="66"/>
      <c r="B324" s="1710">
        <v>523112</v>
      </c>
      <c r="C324" s="1601"/>
      <c r="D324" s="1586"/>
      <c r="E324" s="1587"/>
      <c r="F324" s="1588"/>
      <c r="G324" s="1202"/>
      <c r="H324" s="1194">
        <f t="shared" ref="H324:H339" si="26">D324-G324</f>
        <v>0</v>
      </c>
      <c r="I324" s="1195"/>
      <c r="J324" s="1659"/>
      <c r="K324" s="1660"/>
      <c r="L324" s="1196"/>
      <c r="M324" s="1197">
        <f t="shared" ref="M324:M339" si="27">J324-L324</f>
        <v>0</v>
      </c>
      <c r="N324" s="221"/>
      <c r="O324" s="221"/>
      <c r="P324" s="221"/>
      <c r="Q324" s="221"/>
      <c r="R324" s="221"/>
      <c r="S324" s="221"/>
      <c r="T324" s="221"/>
      <c r="U324" s="221"/>
      <c r="V324" s="221"/>
      <c r="W324" s="221"/>
      <c r="X324" s="221"/>
      <c r="Y324" s="221"/>
      <c r="Z324" s="221"/>
      <c r="AA324" s="221"/>
      <c r="AB324" s="221"/>
      <c r="AC324" s="221"/>
      <c r="AD324" s="82"/>
      <c r="AE324" s="83"/>
      <c r="AF324" s="341"/>
      <c r="AG324" s="341"/>
      <c r="AH324" s="83"/>
      <c r="AI324" s="82"/>
    </row>
    <row r="325" spans="1:35" x14ac:dyDescent="0.3">
      <c r="A325" s="66"/>
      <c r="B325" s="1710">
        <v>523119</v>
      </c>
      <c r="C325" s="1601"/>
      <c r="D325" s="1586"/>
      <c r="E325" s="1587"/>
      <c r="F325" s="1588"/>
      <c r="G325" s="1202"/>
      <c r="H325" s="1194">
        <f t="shared" si="26"/>
        <v>0</v>
      </c>
      <c r="I325" s="1195"/>
      <c r="J325" s="1659"/>
      <c r="K325" s="1660"/>
      <c r="L325" s="1196"/>
      <c r="M325" s="1197">
        <f t="shared" si="27"/>
        <v>0</v>
      </c>
      <c r="N325" s="221"/>
      <c r="O325" s="221"/>
      <c r="P325" s="221"/>
      <c r="Q325" s="221"/>
      <c r="R325" s="221"/>
      <c r="S325" s="221"/>
      <c r="T325" s="221"/>
      <c r="U325" s="221"/>
      <c r="V325" s="221"/>
      <c r="W325" s="221"/>
      <c r="X325" s="221"/>
      <c r="Y325" s="221"/>
      <c r="Z325" s="221"/>
      <c r="AA325" s="221"/>
      <c r="AB325" s="221"/>
      <c r="AC325" s="221"/>
      <c r="AD325" s="82"/>
      <c r="AE325" s="83"/>
      <c r="AF325" s="2103">
        <v>523119</v>
      </c>
      <c r="AG325" s="2103"/>
      <c r="AH325" s="83"/>
      <c r="AI325" s="82"/>
    </row>
    <row r="326" spans="1:35" x14ac:dyDescent="0.3">
      <c r="A326" s="66"/>
      <c r="B326" s="1710">
        <v>523121</v>
      </c>
      <c r="C326" s="1601"/>
      <c r="D326" s="1586">
        <v>304354550</v>
      </c>
      <c r="E326" s="1587"/>
      <c r="F326" s="1588"/>
      <c r="G326" s="1202"/>
      <c r="H326" s="1194">
        <f t="shared" si="26"/>
        <v>304354550</v>
      </c>
      <c r="I326" s="1195"/>
      <c r="J326" s="1659">
        <v>278812400</v>
      </c>
      <c r="K326" s="1660"/>
      <c r="L326" s="1196"/>
      <c r="M326" s="1197">
        <f t="shared" si="27"/>
        <v>278812400</v>
      </c>
      <c r="N326" s="221"/>
      <c r="O326" s="221"/>
      <c r="P326" s="221"/>
      <c r="Q326" s="221"/>
      <c r="R326" s="221"/>
      <c r="S326" s="221"/>
      <c r="T326" s="221"/>
      <c r="U326" s="221"/>
      <c r="V326" s="221"/>
      <c r="W326" s="221"/>
      <c r="X326" s="221"/>
      <c r="Y326" s="221"/>
      <c r="Z326" s="221"/>
      <c r="AA326" s="221"/>
      <c r="AB326" s="221"/>
      <c r="AC326" s="221"/>
      <c r="AD326" s="82"/>
      <c r="AE326" s="83"/>
      <c r="AF326" s="2103">
        <v>523121</v>
      </c>
      <c r="AG326" s="2103"/>
      <c r="AH326" s="83"/>
      <c r="AI326" s="82"/>
    </row>
    <row r="327" spans="1:35" x14ac:dyDescent="0.3">
      <c r="A327" s="66"/>
      <c r="B327" s="1710">
        <v>523122</v>
      </c>
      <c r="C327" s="1601"/>
      <c r="D327" s="1586"/>
      <c r="E327" s="1587"/>
      <c r="F327" s="1588"/>
      <c r="G327" s="1202"/>
      <c r="H327" s="1194">
        <f t="shared" si="26"/>
        <v>0</v>
      </c>
      <c r="I327" s="1195"/>
      <c r="J327" s="1659"/>
      <c r="K327" s="1660"/>
      <c r="L327" s="1196"/>
      <c r="M327" s="1197">
        <f t="shared" si="27"/>
        <v>0</v>
      </c>
      <c r="N327" s="221"/>
      <c r="O327" s="221"/>
      <c r="P327" s="221"/>
      <c r="Q327" s="221"/>
      <c r="R327" s="221"/>
      <c r="S327" s="221"/>
      <c r="T327" s="221"/>
      <c r="U327" s="221"/>
      <c r="V327" s="221"/>
      <c r="W327" s="221"/>
      <c r="X327" s="221"/>
      <c r="Y327" s="221"/>
      <c r="Z327" s="221"/>
      <c r="AA327" s="221"/>
      <c r="AB327" s="221"/>
      <c r="AC327" s="221"/>
      <c r="AD327" s="82"/>
      <c r="AE327" s="83"/>
      <c r="AF327" s="341"/>
      <c r="AG327" s="341"/>
      <c r="AH327" s="83"/>
      <c r="AI327" s="82"/>
    </row>
    <row r="328" spans="1:35" x14ac:dyDescent="0.3">
      <c r="A328" s="66"/>
      <c r="B328" s="1710">
        <v>523123</v>
      </c>
      <c r="C328" s="1601"/>
      <c r="D328" s="1586"/>
      <c r="E328" s="1587"/>
      <c r="F328" s="1588"/>
      <c r="G328" s="1202"/>
      <c r="H328" s="1194">
        <f t="shared" si="26"/>
        <v>0</v>
      </c>
      <c r="I328" s="1195"/>
      <c r="J328" s="1659"/>
      <c r="K328" s="1660"/>
      <c r="L328" s="1196"/>
      <c r="M328" s="1197">
        <f t="shared" si="27"/>
        <v>0</v>
      </c>
      <c r="N328" s="221"/>
      <c r="O328" s="221"/>
      <c r="P328" s="221"/>
      <c r="Q328" s="221"/>
      <c r="R328" s="221"/>
      <c r="S328" s="221"/>
      <c r="T328" s="221"/>
      <c r="U328" s="221"/>
      <c r="V328" s="221"/>
      <c r="W328" s="221"/>
      <c r="X328" s="221"/>
      <c r="Y328" s="221"/>
      <c r="Z328" s="221"/>
      <c r="AA328" s="221"/>
      <c r="AB328" s="221"/>
      <c r="AC328" s="221"/>
      <c r="AD328" s="82"/>
      <c r="AE328" s="83"/>
      <c r="AF328" s="341"/>
      <c r="AG328" s="341"/>
      <c r="AH328" s="83"/>
      <c r="AI328" s="82"/>
    </row>
    <row r="329" spans="1:35" x14ac:dyDescent="0.3">
      <c r="A329" s="66"/>
      <c r="B329" s="1710">
        <v>523129</v>
      </c>
      <c r="C329" s="1601"/>
      <c r="D329" s="1586">
        <v>0</v>
      </c>
      <c r="E329" s="1587"/>
      <c r="F329" s="1588"/>
      <c r="G329" s="1202"/>
      <c r="H329" s="1194">
        <f t="shared" si="26"/>
        <v>0</v>
      </c>
      <c r="I329" s="1195"/>
      <c r="J329" s="1659"/>
      <c r="K329" s="1660"/>
      <c r="L329" s="1196"/>
      <c r="M329" s="1197">
        <f t="shared" si="27"/>
        <v>0</v>
      </c>
      <c r="N329" s="221"/>
      <c r="O329" s="221"/>
      <c r="P329" s="221"/>
      <c r="Q329" s="221"/>
      <c r="R329" s="221"/>
      <c r="S329" s="221"/>
      <c r="T329" s="221"/>
      <c r="U329" s="221"/>
      <c r="V329" s="221"/>
      <c r="W329" s="221"/>
      <c r="X329" s="221"/>
      <c r="Y329" s="221"/>
      <c r="Z329" s="221"/>
      <c r="AA329" s="221"/>
      <c r="AB329" s="221"/>
      <c r="AC329" s="221"/>
      <c r="AD329" s="82"/>
      <c r="AE329" s="83"/>
      <c r="AF329" s="2103">
        <v>523129</v>
      </c>
      <c r="AG329" s="2103"/>
      <c r="AH329" s="83"/>
      <c r="AI329" s="82"/>
    </row>
    <row r="330" spans="1:35" x14ac:dyDescent="0.3">
      <c r="A330" s="66"/>
      <c r="B330" s="1710">
        <v>523131</v>
      </c>
      <c r="C330" s="1601"/>
      <c r="D330" s="1586"/>
      <c r="E330" s="1587"/>
      <c r="F330" s="1588"/>
      <c r="G330" s="1202"/>
      <c r="H330" s="1194">
        <f t="shared" si="26"/>
        <v>0</v>
      </c>
      <c r="I330" s="1195"/>
      <c r="J330" s="1659"/>
      <c r="K330" s="1660"/>
      <c r="L330" s="1196"/>
      <c r="M330" s="1197">
        <f t="shared" si="27"/>
        <v>0</v>
      </c>
      <c r="N330" s="221"/>
      <c r="O330" s="221"/>
      <c r="P330" s="221"/>
      <c r="Q330" s="221"/>
      <c r="R330" s="221"/>
      <c r="S330" s="221"/>
      <c r="T330" s="221"/>
      <c r="U330" s="221"/>
      <c r="V330" s="221"/>
      <c r="W330" s="221"/>
      <c r="X330" s="221"/>
      <c r="Y330" s="221"/>
      <c r="Z330" s="221"/>
      <c r="AA330" s="221"/>
      <c r="AB330" s="221"/>
      <c r="AC330" s="221"/>
      <c r="AD330" s="82"/>
      <c r="AE330" s="83"/>
      <c r="AF330" s="2103">
        <v>523131</v>
      </c>
      <c r="AG330" s="2103"/>
      <c r="AH330" s="83"/>
      <c r="AI330" s="82"/>
    </row>
    <row r="331" spans="1:35" x14ac:dyDescent="0.3">
      <c r="A331" s="66"/>
      <c r="B331" s="1710">
        <v>523132</v>
      </c>
      <c r="C331" s="1601"/>
      <c r="D331" s="1586"/>
      <c r="E331" s="1587"/>
      <c r="F331" s="1588"/>
      <c r="G331" s="1202"/>
      <c r="H331" s="1194">
        <f t="shared" si="26"/>
        <v>0</v>
      </c>
      <c r="I331" s="1195"/>
      <c r="J331" s="1659"/>
      <c r="K331" s="1660"/>
      <c r="L331" s="1196"/>
      <c r="M331" s="1197">
        <f t="shared" si="27"/>
        <v>0</v>
      </c>
      <c r="N331" s="221"/>
      <c r="O331" s="221"/>
      <c r="P331" s="221"/>
      <c r="Q331" s="221"/>
      <c r="R331" s="221"/>
      <c r="S331" s="221"/>
      <c r="T331" s="221"/>
      <c r="U331" s="221"/>
      <c r="V331" s="221"/>
      <c r="W331" s="221"/>
      <c r="X331" s="221"/>
      <c r="Y331" s="221"/>
      <c r="Z331" s="221"/>
      <c r="AA331" s="221"/>
      <c r="AB331" s="221"/>
      <c r="AC331" s="221"/>
      <c r="AD331" s="82"/>
      <c r="AE331" s="83"/>
      <c r="AF331" s="341"/>
      <c r="AG331" s="341"/>
      <c r="AH331" s="83"/>
      <c r="AI331" s="82"/>
    </row>
    <row r="332" spans="1:35" x14ac:dyDescent="0.3">
      <c r="A332" s="66"/>
      <c r="B332" s="1710">
        <v>523133</v>
      </c>
      <c r="C332" s="1601"/>
      <c r="D332" s="1586"/>
      <c r="E332" s="1587"/>
      <c r="F332" s="1588"/>
      <c r="G332" s="1202"/>
      <c r="H332" s="1194">
        <f t="shared" si="26"/>
        <v>0</v>
      </c>
      <c r="I332" s="1195"/>
      <c r="J332" s="1659"/>
      <c r="K332" s="1660"/>
      <c r="L332" s="1196"/>
      <c r="M332" s="1197">
        <f t="shared" si="27"/>
        <v>0</v>
      </c>
      <c r="N332" s="221"/>
      <c r="O332" s="221"/>
      <c r="P332" s="221"/>
      <c r="Q332" s="221"/>
      <c r="R332" s="221"/>
      <c r="S332" s="221"/>
      <c r="T332" s="221"/>
      <c r="U332" s="221"/>
      <c r="V332" s="221"/>
      <c r="W332" s="221"/>
      <c r="X332" s="221"/>
      <c r="Y332" s="221"/>
      <c r="Z332" s="221"/>
      <c r="AA332" s="221"/>
      <c r="AB332" s="221"/>
      <c r="AC332" s="221"/>
      <c r="AD332" s="82"/>
      <c r="AE332" s="83"/>
      <c r="AF332" s="341"/>
      <c r="AG332" s="341"/>
      <c r="AH332" s="83"/>
      <c r="AI332" s="82"/>
    </row>
    <row r="333" spans="1:35" x14ac:dyDescent="0.3">
      <c r="A333" s="66"/>
      <c r="B333" s="1710">
        <v>523134</v>
      </c>
      <c r="C333" s="1601"/>
      <c r="D333" s="1586"/>
      <c r="E333" s="1587"/>
      <c r="F333" s="1588"/>
      <c r="G333" s="1202"/>
      <c r="H333" s="1194">
        <f t="shared" si="26"/>
        <v>0</v>
      </c>
      <c r="I333" s="1195"/>
      <c r="J333" s="1659"/>
      <c r="K333" s="1660"/>
      <c r="L333" s="1196"/>
      <c r="M333" s="1197">
        <f t="shared" si="27"/>
        <v>0</v>
      </c>
      <c r="N333" s="221"/>
      <c r="O333" s="221"/>
      <c r="P333" s="221"/>
      <c r="Q333" s="221"/>
      <c r="R333" s="221"/>
      <c r="S333" s="221"/>
      <c r="T333" s="221"/>
      <c r="U333" s="221"/>
      <c r="V333" s="221"/>
      <c r="W333" s="221"/>
      <c r="X333" s="221"/>
      <c r="Y333" s="221"/>
      <c r="Z333" s="221"/>
      <c r="AA333" s="221"/>
      <c r="AB333" s="221"/>
      <c r="AC333" s="221"/>
      <c r="AD333" s="82"/>
      <c r="AE333" s="83"/>
      <c r="AF333" s="341"/>
      <c r="AG333" s="341"/>
      <c r="AH333" s="83"/>
      <c r="AI333" s="82"/>
    </row>
    <row r="334" spans="1:35" x14ac:dyDescent="0.3">
      <c r="A334" s="66"/>
      <c r="B334" s="1710">
        <v>523135</v>
      </c>
      <c r="C334" s="1601"/>
      <c r="D334" s="1586"/>
      <c r="E334" s="1587"/>
      <c r="F334" s="1588"/>
      <c r="G334" s="1202"/>
      <c r="H334" s="1194">
        <f t="shared" si="26"/>
        <v>0</v>
      </c>
      <c r="I334" s="1195"/>
      <c r="J334" s="1659"/>
      <c r="K334" s="1660"/>
      <c r="L334" s="1196"/>
      <c r="M334" s="1197">
        <f t="shared" si="27"/>
        <v>0</v>
      </c>
      <c r="N334" s="221"/>
      <c r="O334" s="221"/>
      <c r="P334" s="221"/>
      <c r="Q334" s="221"/>
      <c r="R334" s="221"/>
      <c r="S334" s="221"/>
      <c r="T334" s="221"/>
      <c r="U334" s="221"/>
      <c r="V334" s="221"/>
      <c r="W334" s="221"/>
      <c r="X334" s="221"/>
      <c r="Y334" s="221"/>
      <c r="Z334" s="221"/>
      <c r="AA334" s="221"/>
      <c r="AB334" s="221"/>
      <c r="AC334" s="221"/>
      <c r="AD334" s="82"/>
      <c r="AE334" s="83"/>
      <c r="AF334" s="2103">
        <v>523132</v>
      </c>
      <c r="AG334" s="2103"/>
      <c r="AH334" s="83"/>
      <c r="AI334" s="82"/>
    </row>
    <row r="335" spans="1:35" x14ac:dyDescent="0.3">
      <c r="A335" s="66"/>
      <c r="B335" s="1710">
        <v>523136</v>
      </c>
      <c r="C335" s="1601"/>
      <c r="D335" s="1586"/>
      <c r="E335" s="1587"/>
      <c r="F335" s="1588"/>
      <c r="G335" s="1202"/>
      <c r="H335" s="1194">
        <f t="shared" si="26"/>
        <v>0</v>
      </c>
      <c r="I335" s="1195"/>
      <c r="J335" s="1659"/>
      <c r="K335" s="1660"/>
      <c r="L335" s="1196"/>
      <c r="M335" s="1197">
        <f t="shared" si="27"/>
        <v>0</v>
      </c>
      <c r="N335" s="221"/>
      <c r="O335" s="221"/>
      <c r="P335" s="221"/>
      <c r="Q335" s="221"/>
      <c r="R335" s="221"/>
      <c r="S335" s="221"/>
      <c r="T335" s="221"/>
      <c r="U335" s="221"/>
      <c r="V335" s="221"/>
      <c r="W335" s="221"/>
      <c r="X335" s="221"/>
      <c r="Y335" s="221"/>
      <c r="Z335" s="221"/>
      <c r="AA335" s="221"/>
      <c r="AB335" s="221"/>
      <c r="AC335" s="221"/>
      <c r="AD335" s="82"/>
      <c r="AE335" s="83"/>
      <c r="AF335" s="2103">
        <v>523133</v>
      </c>
      <c r="AG335" s="2103"/>
      <c r="AH335" s="83"/>
      <c r="AI335" s="82"/>
    </row>
    <row r="336" spans="1:35" x14ac:dyDescent="0.3">
      <c r="A336" s="66"/>
      <c r="B336" s="1710">
        <v>523191</v>
      </c>
      <c r="C336" s="1601"/>
      <c r="D336" s="1586"/>
      <c r="E336" s="1587"/>
      <c r="F336" s="1588"/>
      <c r="G336" s="1202"/>
      <c r="H336" s="1194">
        <f t="shared" si="26"/>
        <v>0</v>
      </c>
      <c r="I336" s="1195"/>
      <c r="J336" s="1659"/>
      <c r="K336" s="1660"/>
      <c r="L336" s="1196"/>
      <c r="M336" s="1197">
        <f t="shared" si="27"/>
        <v>0</v>
      </c>
      <c r="N336" s="221"/>
      <c r="O336" s="221"/>
      <c r="P336" s="221"/>
      <c r="Q336" s="221"/>
      <c r="R336" s="221"/>
      <c r="S336" s="221"/>
      <c r="T336" s="221"/>
      <c r="U336" s="221"/>
      <c r="V336" s="221"/>
      <c r="W336" s="221"/>
      <c r="X336" s="221"/>
      <c r="Y336" s="221"/>
      <c r="Z336" s="221"/>
      <c r="AA336" s="221"/>
      <c r="AB336" s="221"/>
      <c r="AC336" s="221"/>
      <c r="AD336" s="82"/>
      <c r="AE336" s="83"/>
      <c r="AF336" s="341"/>
      <c r="AG336" s="341"/>
      <c r="AH336" s="83"/>
      <c r="AI336" s="82"/>
    </row>
    <row r="337" spans="1:35" x14ac:dyDescent="0.3">
      <c r="A337" s="66"/>
      <c r="B337" s="1710">
        <v>523199</v>
      </c>
      <c r="C337" s="1601"/>
      <c r="D337" s="1586"/>
      <c r="E337" s="1587"/>
      <c r="F337" s="1588"/>
      <c r="G337" s="1202"/>
      <c r="H337" s="1194">
        <f t="shared" si="26"/>
        <v>0</v>
      </c>
      <c r="I337" s="1195"/>
      <c r="J337" s="1659"/>
      <c r="K337" s="1660"/>
      <c r="L337" s="1196"/>
      <c r="M337" s="1197">
        <f t="shared" si="27"/>
        <v>0</v>
      </c>
      <c r="N337" s="221"/>
      <c r="O337" s="221"/>
      <c r="P337" s="221"/>
      <c r="Q337" s="221"/>
      <c r="R337" s="221"/>
      <c r="S337" s="221"/>
      <c r="T337" s="221"/>
      <c r="U337" s="221"/>
      <c r="V337" s="221"/>
      <c r="W337" s="221"/>
      <c r="X337" s="221"/>
      <c r="Y337" s="221"/>
      <c r="Z337" s="221"/>
      <c r="AA337" s="221"/>
      <c r="AB337" s="221"/>
      <c r="AC337" s="221"/>
      <c r="AD337" s="82"/>
      <c r="AE337" s="83"/>
      <c r="AF337" s="2103">
        <v>523199</v>
      </c>
      <c r="AG337" s="2103"/>
      <c r="AH337" s="83"/>
      <c r="AI337" s="82"/>
    </row>
    <row r="338" spans="1:35" ht="15.5" x14ac:dyDescent="0.3">
      <c r="A338" s="66"/>
      <c r="B338" s="2066"/>
      <c r="C338" s="2055"/>
      <c r="D338" s="1586"/>
      <c r="E338" s="1587"/>
      <c r="F338" s="1588"/>
      <c r="G338" s="1202"/>
      <c r="H338" s="1194">
        <f t="shared" si="26"/>
        <v>0</v>
      </c>
      <c r="I338" s="1195"/>
      <c r="J338" s="1659"/>
      <c r="K338" s="1660"/>
      <c r="L338" s="1196"/>
      <c r="M338" s="1197">
        <f t="shared" si="27"/>
        <v>0</v>
      </c>
      <c r="N338" s="221"/>
      <c r="O338" s="221"/>
      <c r="P338" s="221"/>
      <c r="Q338" s="221"/>
      <c r="R338" s="221"/>
      <c r="S338" s="221"/>
      <c r="T338" s="221"/>
      <c r="U338" s="221"/>
      <c r="V338" s="221"/>
      <c r="W338" s="221"/>
      <c r="X338" s="221"/>
      <c r="Y338" s="221"/>
      <c r="Z338" s="221"/>
      <c r="AA338" s="221"/>
      <c r="AB338" s="221"/>
      <c r="AC338" s="221"/>
      <c r="AD338" s="82"/>
      <c r="AE338" s="83"/>
      <c r="AG338" s="70"/>
      <c r="AH338" s="83"/>
      <c r="AI338" s="82"/>
    </row>
    <row r="339" spans="1:35" ht="16" thickBot="1" x14ac:dyDescent="0.35">
      <c r="A339" s="66"/>
      <c r="B339" s="2064"/>
      <c r="C339" s="2065"/>
      <c r="D339" s="1586"/>
      <c r="E339" s="1587"/>
      <c r="F339" s="1588"/>
      <c r="G339" s="1202"/>
      <c r="H339" s="1194">
        <f t="shared" si="26"/>
        <v>0</v>
      </c>
      <c r="I339" s="1195"/>
      <c r="J339" s="1659"/>
      <c r="K339" s="1660"/>
      <c r="L339" s="1196"/>
      <c r="M339" s="1197">
        <f t="shared" si="27"/>
        <v>0</v>
      </c>
      <c r="N339" s="221"/>
      <c r="O339" s="221"/>
      <c r="P339" s="221"/>
      <c r="Q339" s="221"/>
      <c r="R339" s="221"/>
      <c r="S339" s="221"/>
      <c r="T339" s="221"/>
      <c r="U339" s="221"/>
      <c r="V339" s="221"/>
      <c r="W339" s="221"/>
      <c r="X339" s="221"/>
      <c r="Y339" s="221"/>
      <c r="Z339" s="221"/>
      <c r="AA339" s="221"/>
      <c r="AB339" s="221"/>
      <c r="AC339" s="221"/>
      <c r="AD339" s="82"/>
      <c r="AE339" s="83"/>
      <c r="AG339" s="70"/>
      <c r="AH339" s="83"/>
      <c r="AI339" s="82"/>
    </row>
    <row r="340" spans="1:35" ht="16.5" thickTop="1" thickBot="1" x14ac:dyDescent="0.35">
      <c r="A340" s="66"/>
      <c r="B340" s="1214" t="s">
        <v>116</v>
      </c>
      <c r="C340" s="1215"/>
      <c r="D340" s="1591">
        <f>SUM(D323:F339)</f>
        <v>625913650</v>
      </c>
      <c r="E340" s="1592"/>
      <c r="F340" s="1593"/>
      <c r="G340" s="1185">
        <f>SUM(G323:G339)</f>
        <v>0</v>
      </c>
      <c r="H340" s="1186">
        <f>SUM(H323:H339)</f>
        <v>625913650</v>
      </c>
      <c r="I340" s="1195"/>
      <c r="J340" s="1666">
        <f>SUM(J323:K339)</f>
        <v>722817400</v>
      </c>
      <c r="K340" s="1667"/>
      <c r="L340" s="1188">
        <f>SUM(L323:L339)</f>
        <v>0</v>
      </c>
      <c r="M340" s="1188">
        <f>SUM(M323:M339)</f>
        <v>722817400</v>
      </c>
      <c r="N340" s="221"/>
      <c r="O340" s="221"/>
      <c r="P340" s="221"/>
      <c r="Q340" s="221"/>
      <c r="R340" s="221"/>
      <c r="S340" s="221"/>
      <c r="T340" s="221"/>
      <c r="U340" s="221"/>
      <c r="V340" s="221"/>
      <c r="W340" s="221"/>
      <c r="X340" s="221"/>
      <c r="Y340" s="221"/>
      <c r="Z340" s="221"/>
      <c r="AA340" s="221"/>
      <c r="AB340" s="221"/>
      <c r="AC340" s="221"/>
      <c r="AD340" s="82"/>
      <c r="AE340" s="83"/>
      <c r="AG340" s="70"/>
      <c r="AH340" s="83"/>
      <c r="AI340" s="82"/>
    </row>
    <row r="341" spans="1:35" ht="16.5" thickTop="1" thickBot="1" x14ac:dyDescent="0.4">
      <c r="A341" s="66"/>
      <c r="B341" s="1671" t="str">
        <f>$B$69</f>
        <v>31 Desember 2019</v>
      </c>
      <c r="C341" s="1671"/>
      <c r="D341" s="1671"/>
      <c r="E341" s="1671"/>
      <c r="F341" s="1671"/>
      <c r="G341" s="1671"/>
      <c r="H341" s="1671"/>
      <c r="I341" s="230"/>
      <c r="J341" s="1672" t="str">
        <f>$J$69</f>
        <v>31 Desember 2018</v>
      </c>
      <c r="K341" s="1671"/>
      <c r="L341" s="1671"/>
      <c r="M341" s="1671"/>
      <c r="N341" s="221"/>
      <c r="O341" s="221"/>
      <c r="P341" s="221"/>
      <c r="Q341" s="221"/>
      <c r="R341" s="221"/>
      <c r="S341" s="221"/>
      <c r="T341" s="221"/>
      <c r="U341" s="221"/>
      <c r="V341" s="221"/>
      <c r="W341" s="221"/>
      <c r="X341" s="221"/>
      <c r="Y341" s="221"/>
      <c r="Z341" s="221"/>
      <c r="AA341" s="221"/>
      <c r="AB341" s="221"/>
      <c r="AC341" s="221"/>
      <c r="AD341" s="82"/>
      <c r="AE341" s="83"/>
      <c r="AG341" s="70"/>
      <c r="AH341" s="83"/>
      <c r="AI341" s="82"/>
    </row>
    <row r="342" spans="1:35" ht="20.5" thickTop="1" x14ac:dyDescent="0.3">
      <c r="A342" s="66"/>
      <c r="B342" s="1668" t="s">
        <v>238</v>
      </c>
      <c r="C342" s="1669"/>
      <c r="D342" s="1669"/>
      <c r="E342" s="1669"/>
      <c r="F342" s="1669"/>
      <c r="G342" s="1669"/>
      <c r="H342" s="1669"/>
      <c r="I342" s="1669"/>
      <c r="J342" s="1669"/>
      <c r="K342" s="1669"/>
      <c r="L342" s="1669"/>
      <c r="M342" s="1670"/>
      <c r="N342" s="221"/>
      <c r="O342" s="221"/>
      <c r="P342" s="221"/>
      <c r="Q342" s="221"/>
      <c r="R342" s="221"/>
      <c r="S342" s="221"/>
      <c r="T342" s="221"/>
      <c r="U342" s="221"/>
      <c r="V342" s="221"/>
      <c r="W342" s="221"/>
      <c r="X342" s="221"/>
      <c r="Y342" s="221"/>
      <c r="Z342" s="221"/>
      <c r="AA342" s="221"/>
      <c r="AB342" s="221"/>
      <c r="AC342" s="221"/>
      <c r="AD342" s="82"/>
      <c r="AE342" s="83"/>
      <c r="AG342" s="70"/>
      <c r="AH342" s="83"/>
      <c r="AI342" s="82"/>
    </row>
    <row r="343" spans="1:35" ht="15.5" x14ac:dyDescent="0.3">
      <c r="A343" s="66"/>
      <c r="B343" s="1710"/>
      <c r="C343" s="1601"/>
      <c r="D343" s="1584" t="s">
        <v>46</v>
      </c>
      <c r="E343" s="1713"/>
      <c r="F343" s="1585"/>
      <c r="G343" s="1189" t="s">
        <v>175</v>
      </c>
      <c r="H343" s="1190" t="s">
        <v>183</v>
      </c>
      <c r="I343" s="1216"/>
      <c r="J343" s="1584" t="s">
        <v>46</v>
      </c>
      <c r="K343" s="1585"/>
      <c r="L343" s="1189" t="s">
        <v>175</v>
      </c>
      <c r="M343" s="1192" t="s">
        <v>183</v>
      </c>
      <c r="N343" s="221"/>
      <c r="O343" s="221"/>
      <c r="P343" s="221"/>
      <c r="Q343" s="221"/>
      <c r="R343" s="221"/>
      <c r="S343" s="221"/>
      <c r="T343" s="221"/>
      <c r="U343" s="221"/>
      <c r="V343" s="221"/>
      <c r="W343" s="221"/>
      <c r="X343" s="221"/>
      <c r="Y343" s="221"/>
      <c r="Z343" s="221"/>
      <c r="AA343" s="221"/>
      <c r="AB343" s="221"/>
      <c r="AC343" s="221"/>
      <c r="AD343" s="82"/>
      <c r="AE343" s="83"/>
      <c r="AG343" s="70"/>
      <c r="AH343" s="83"/>
      <c r="AI343" s="82"/>
    </row>
    <row r="344" spans="1:35" x14ac:dyDescent="0.3">
      <c r="A344" s="66"/>
      <c r="B344" s="2062">
        <v>524111</v>
      </c>
      <c r="C344" s="2063"/>
      <c r="D344" s="1586">
        <v>1789705650</v>
      </c>
      <c r="E344" s="1587"/>
      <c r="F344" s="1588"/>
      <c r="G344" s="1202"/>
      <c r="H344" s="1194">
        <f>D344-G344</f>
        <v>1789705650</v>
      </c>
      <c r="I344" s="1195"/>
      <c r="J344" s="1659">
        <v>1638664700</v>
      </c>
      <c r="K344" s="1660"/>
      <c r="L344" s="1196"/>
      <c r="M344" s="1197">
        <f t="shared" ref="M344:M353" si="28">J344-L344</f>
        <v>1638664700</v>
      </c>
      <c r="N344" s="221"/>
      <c r="O344" s="221"/>
      <c r="P344" s="221"/>
      <c r="Q344" s="221"/>
      <c r="R344" s="221"/>
      <c r="S344" s="221"/>
      <c r="T344" s="221"/>
      <c r="U344" s="221"/>
      <c r="V344" s="221"/>
      <c r="W344" s="221"/>
      <c r="X344" s="221"/>
      <c r="Y344" s="221"/>
      <c r="Z344" s="221"/>
      <c r="AA344" s="221"/>
      <c r="AB344" s="221"/>
      <c r="AC344" s="221"/>
      <c r="AD344" s="82"/>
      <c r="AE344" s="83"/>
      <c r="AF344" s="2103">
        <v>524111</v>
      </c>
      <c r="AG344" s="2103"/>
      <c r="AH344" s="83"/>
      <c r="AI344" s="82"/>
    </row>
    <row r="345" spans="1:35" x14ac:dyDescent="0.3">
      <c r="A345" s="66"/>
      <c r="B345" s="1600">
        <v>524112</v>
      </c>
      <c r="C345" s="1601"/>
      <c r="D345" s="1586"/>
      <c r="E345" s="1587"/>
      <c r="F345" s="1588"/>
      <c r="G345" s="1206"/>
      <c r="H345" s="1194">
        <f t="shared" ref="H345:H353" si="29">D345-G345</f>
        <v>0</v>
      </c>
      <c r="I345" s="1195"/>
      <c r="J345" s="1659"/>
      <c r="K345" s="1660"/>
      <c r="L345" s="1196"/>
      <c r="M345" s="1197">
        <f t="shared" si="28"/>
        <v>0</v>
      </c>
      <c r="N345" s="221"/>
      <c r="O345" s="221"/>
      <c r="P345" s="221"/>
      <c r="Q345" s="221"/>
      <c r="R345" s="221"/>
      <c r="S345" s="221"/>
      <c r="T345" s="221"/>
      <c r="U345" s="221"/>
      <c r="V345" s="221"/>
      <c r="W345" s="221"/>
      <c r="X345" s="221"/>
      <c r="Y345" s="221"/>
      <c r="Z345" s="221"/>
      <c r="AA345" s="221"/>
      <c r="AB345" s="221"/>
      <c r="AC345" s="221"/>
      <c r="AD345" s="82"/>
      <c r="AE345" s="83"/>
      <c r="AF345" s="2103">
        <v>524112</v>
      </c>
      <c r="AG345" s="2103"/>
      <c r="AH345" s="83"/>
      <c r="AI345" s="82"/>
    </row>
    <row r="346" spans="1:35" x14ac:dyDescent="0.3">
      <c r="A346" s="66"/>
      <c r="B346" s="1600">
        <v>524113</v>
      </c>
      <c r="C346" s="1601"/>
      <c r="D346" s="1586">
        <v>317340000</v>
      </c>
      <c r="E346" s="1587"/>
      <c r="F346" s="1588"/>
      <c r="G346" s="1206"/>
      <c r="H346" s="1194">
        <f t="shared" si="29"/>
        <v>317340000</v>
      </c>
      <c r="I346" s="1195"/>
      <c r="J346" s="1659">
        <v>217400000</v>
      </c>
      <c r="K346" s="1660"/>
      <c r="L346" s="1196"/>
      <c r="M346" s="1197">
        <f t="shared" si="28"/>
        <v>217400000</v>
      </c>
      <c r="N346" s="221"/>
      <c r="O346" s="221"/>
      <c r="P346" s="221"/>
      <c r="Q346" s="221"/>
      <c r="R346" s="221"/>
      <c r="S346" s="221"/>
      <c r="T346" s="221"/>
      <c r="U346" s="221"/>
      <c r="V346" s="221"/>
      <c r="W346" s="221"/>
      <c r="X346" s="221"/>
      <c r="Y346" s="221"/>
      <c r="Z346" s="221"/>
      <c r="AA346" s="221"/>
      <c r="AB346" s="221"/>
      <c r="AC346" s="221"/>
      <c r="AD346" s="82"/>
      <c r="AE346" s="83"/>
      <c r="AF346" s="2103">
        <v>524113</v>
      </c>
      <c r="AG346" s="2103"/>
      <c r="AH346" s="83"/>
      <c r="AI346" s="82"/>
    </row>
    <row r="347" spans="1:35" x14ac:dyDescent="0.3">
      <c r="A347" s="66"/>
      <c r="B347" s="1600">
        <v>524114</v>
      </c>
      <c r="C347" s="1601"/>
      <c r="D347" s="1586">
        <v>900000</v>
      </c>
      <c r="E347" s="1587"/>
      <c r="F347" s="1588"/>
      <c r="G347" s="1206"/>
      <c r="H347" s="1194">
        <f t="shared" si="29"/>
        <v>900000</v>
      </c>
      <c r="I347" s="1195"/>
      <c r="J347" s="1659">
        <v>1980000</v>
      </c>
      <c r="K347" s="1660"/>
      <c r="L347" s="1196"/>
      <c r="M347" s="1197">
        <f t="shared" si="28"/>
        <v>1980000</v>
      </c>
      <c r="N347" s="221"/>
      <c r="O347" s="221"/>
      <c r="P347" s="221"/>
      <c r="Q347" s="221"/>
      <c r="R347" s="221"/>
      <c r="S347" s="221"/>
      <c r="T347" s="221"/>
      <c r="U347" s="221"/>
      <c r="V347" s="221"/>
      <c r="W347" s="221"/>
      <c r="X347" s="221"/>
      <c r="Y347" s="221"/>
      <c r="Z347" s="221"/>
      <c r="AA347" s="221"/>
      <c r="AB347" s="221"/>
      <c r="AC347" s="221"/>
      <c r="AD347" s="82"/>
      <c r="AE347" s="83"/>
      <c r="AF347" s="2103">
        <v>524114</v>
      </c>
      <c r="AG347" s="2103"/>
      <c r="AH347" s="83"/>
      <c r="AI347" s="82"/>
    </row>
    <row r="348" spans="1:35" x14ac:dyDescent="0.3">
      <c r="A348" s="66"/>
      <c r="B348" s="1600">
        <v>524119</v>
      </c>
      <c r="C348" s="1601"/>
      <c r="D348" s="1586">
        <v>647463600</v>
      </c>
      <c r="E348" s="1587"/>
      <c r="F348" s="1588"/>
      <c r="G348" s="1206"/>
      <c r="H348" s="1194">
        <f>D348-G348</f>
        <v>647463600</v>
      </c>
      <c r="I348" s="1195"/>
      <c r="J348" s="1659">
        <v>928341200</v>
      </c>
      <c r="K348" s="1660"/>
      <c r="L348" s="1196"/>
      <c r="M348" s="1197">
        <f t="shared" si="28"/>
        <v>928341200</v>
      </c>
      <c r="N348" s="221"/>
      <c r="O348" s="221"/>
      <c r="P348" s="221"/>
      <c r="Q348" s="221"/>
      <c r="R348" s="221"/>
      <c r="S348" s="221"/>
      <c r="T348" s="221"/>
      <c r="U348" s="221"/>
      <c r="V348" s="221"/>
      <c r="W348" s="221"/>
      <c r="X348" s="221"/>
      <c r="Y348" s="221"/>
      <c r="Z348" s="221"/>
      <c r="AA348" s="221"/>
      <c r="AB348" s="221"/>
      <c r="AC348" s="221"/>
      <c r="AD348" s="82"/>
      <c r="AE348" s="83"/>
      <c r="AF348" s="2103">
        <v>524119</v>
      </c>
      <c r="AG348" s="2103"/>
      <c r="AH348" s="83"/>
      <c r="AI348" s="82"/>
    </row>
    <row r="349" spans="1:35" x14ac:dyDescent="0.3">
      <c r="A349" s="66"/>
      <c r="B349" s="1600">
        <v>524211</v>
      </c>
      <c r="C349" s="1601"/>
      <c r="D349" s="1586"/>
      <c r="E349" s="1587"/>
      <c r="F349" s="1588"/>
      <c r="G349" s="1206"/>
      <c r="H349" s="1194">
        <f t="shared" si="29"/>
        <v>0</v>
      </c>
      <c r="I349" s="1195"/>
      <c r="J349" s="1659"/>
      <c r="K349" s="1660"/>
      <c r="L349" s="1196"/>
      <c r="M349" s="1197">
        <f t="shared" si="28"/>
        <v>0</v>
      </c>
      <c r="N349" s="221"/>
      <c r="O349" s="221"/>
      <c r="P349" s="221"/>
      <c r="Q349" s="221"/>
      <c r="R349" s="221"/>
      <c r="S349" s="221"/>
      <c r="T349" s="221"/>
      <c r="U349" s="221"/>
      <c r="V349" s="221"/>
      <c r="W349" s="221"/>
      <c r="X349" s="221"/>
      <c r="Y349" s="221"/>
      <c r="Z349" s="221"/>
      <c r="AA349" s="221"/>
      <c r="AB349" s="221"/>
      <c r="AC349" s="221"/>
      <c r="AD349" s="82"/>
      <c r="AE349" s="83"/>
      <c r="AF349" s="2103">
        <v>524211</v>
      </c>
      <c r="AG349" s="2103"/>
      <c r="AH349" s="83"/>
      <c r="AI349" s="82"/>
    </row>
    <row r="350" spans="1:35" x14ac:dyDescent="0.3">
      <c r="A350" s="66"/>
      <c r="B350" s="1600">
        <v>524212</v>
      </c>
      <c r="C350" s="1601"/>
      <c r="D350" s="1586"/>
      <c r="E350" s="1648"/>
      <c r="F350" s="1649"/>
      <c r="G350" s="1206"/>
      <c r="H350" s="1194">
        <f t="shared" si="29"/>
        <v>0</v>
      </c>
      <c r="I350" s="1195"/>
      <c r="J350" s="1659"/>
      <c r="K350" s="1649"/>
      <c r="L350" s="1196"/>
      <c r="M350" s="1197">
        <f t="shared" si="28"/>
        <v>0</v>
      </c>
      <c r="N350" s="221"/>
      <c r="O350" s="221"/>
      <c r="P350" s="221"/>
      <c r="Q350" s="221"/>
      <c r="R350" s="221"/>
      <c r="S350" s="221"/>
      <c r="T350" s="221"/>
      <c r="U350" s="221"/>
      <c r="V350" s="221"/>
      <c r="W350" s="221"/>
      <c r="X350" s="221"/>
      <c r="Y350" s="221"/>
      <c r="Z350" s="221"/>
      <c r="AA350" s="221"/>
      <c r="AB350" s="221"/>
      <c r="AC350" s="221"/>
      <c r="AD350" s="82"/>
      <c r="AE350" s="83"/>
      <c r="AF350" s="2103">
        <v>524212</v>
      </c>
      <c r="AG350" s="2103"/>
      <c r="AH350" s="83"/>
      <c r="AI350" s="82"/>
    </row>
    <row r="351" spans="1:35" x14ac:dyDescent="0.3">
      <c r="A351" s="66"/>
      <c r="B351" s="1600">
        <v>524219</v>
      </c>
      <c r="C351" s="1601"/>
      <c r="D351" s="1586"/>
      <c r="E351" s="1648"/>
      <c r="F351" s="1649"/>
      <c r="G351" s="1206"/>
      <c r="H351" s="1194">
        <f>D351-G351</f>
        <v>0</v>
      </c>
      <c r="I351" s="1195"/>
      <c r="J351" s="1659"/>
      <c r="K351" s="1649"/>
      <c r="L351" s="1196"/>
      <c r="M351" s="1197">
        <f t="shared" si="28"/>
        <v>0</v>
      </c>
      <c r="N351" s="221"/>
      <c r="O351" s="221"/>
      <c r="P351" s="221"/>
      <c r="Q351" s="221"/>
      <c r="R351" s="221"/>
      <c r="S351" s="221"/>
      <c r="T351" s="221"/>
      <c r="U351" s="221"/>
      <c r="V351" s="221"/>
      <c r="W351" s="221"/>
      <c r="X351" s="221"/>
      <c r="Y351" s="221"/>
      <c r="Z351" s="221"/>
      <c r="AA351" s="221"/>
      <c r="AB351" s="221"/>
      <c r="AC351" s="221"/>
      <c r="AD351" s="82"/>
      <c r="AE351" s="83"/>
      <c r="AF351" s="2103">
        <v>524219</v>
      </c>
      <c r="AG351" s="2103"/>
      <c r="AH351" s="83"/>
      <c r="AI351" s="82"/>
    </row>
    <row r="352" spans="1:35" ht="15.5" x14ac:dyDescent="0.3">
      <c r="A352" s="66"/>
      <c r="B352" s="1673"/>
      <c r="C352" s="1674"/>
      <c r="D352" s="1586"/>
      <c r="E352" s="1587"/>
      <c r="F352" s="1588"/>
      <c r="G352" s="1206"/>
      <c r="H352" s="1194">
        <f t="shared" si="29"/>
        <v>0</v>
      </c>
      <c r="I352" s="1195"/>
      <c r="J352" s="1659"/>
      <c r="K352" s="1660"/>
      <c r="L352" s="1196"/>
      <c r="M352" s="1197">
        <f t="shared" si="28"/>
        <v>0</v>
      </c>
      <c r="N352" s="221"/>
      <c r="O352" s="221"/>
      <c r="P352" s="221"/>
      <c r="Q352" s="221"/>
      <c r="R352" s="221"/>
      <c r="S352" s="221"/>
      <c r="T352" s="221"/>
      <c r="U352" s="221"/>
      <c r="V352" s="221"/>
      <c r="W352" s="221"/>
      <c r="X352" s="221"/>
      <c r="Y352" s="221"/>
      <c r="Z352" s="221"/>
      <c r="AA352" s="221"/>
      <c r="AB352" s="221"/>
      <c r="AC352" s="221"/>
      <c r="AD352" s="82"/>
      <c r="AE352" s="83"/>
      <c r="AG352" s="70"/>
      <c r="AH352" s="83"/>
      <c r="AI352" s="82"/>
    </row>
    <row r="353" spans="1:35" ht="16" thickBot="1" x14ac:dyDescent="0.35">
      <c r="A353" s="66"/>
      <c r="B353" s="1664"/>
      <c r="C353" s="1665"/>
      <c r="D353" s="1586"/>
      <c r="E353" s="1587"/>
      <c r="F353" s="1588"/>
      <c r="G353" s="1206"/>
      <c r="H353" s="1194">
        <f t="shared" si="29"/>
        <v>0</v>
      </c>
      <c r="I353" s="1195"/>
      <c r="J353" s="1659"/>
      <c r="K353" s="1660"/>
      <c r="L353" s="1196"/>
      <c r="M353" s="1197">
        <f t="shared" si="28"/>
        <v>0</v>
      </c>
      <c r="N353" s="221"/>
      <c r="O353" s="221"/>
      <c r="P353" s="221"/>
      <c r="Q353" s="221"/>
      <c r="R353" s="221"/>
      <c r="S353" s="221"/>
      <c r="T353" s="221"/>
      <c r="U353" s="221"/>
      <c r="V353" s="221"/>
      <c r="W353" s="221"/>
      <c r="X353" s="221"/>
      <c r="Y353" s="221"/>
      <c r="Z353" s="221"/>
      <c r="AA353" s="221"/>
      <c r="AB353" s="221"/>
      <c r="AC353" s="221"/>
      <c r="AD353" s="82"/>
      <c r="AE353" s="83"/>
      <c r="AG353" s="70"/>
      <c r="AH353" s="83"/>
      <c r="AI353" s="82"/>
    </row>
    <row r="354" spans="1:35" ht="16.5" thickTop="1" thickBot="1" x14ac:dyDescent="0.35">
      <c r="A354" s="66"/>
      <c r="B354" s="1214" t="s">
        <v>116</v>
      </c>
      <c r="C354" s="1215"/>
      <c r="D354" s="1591">
        <f>SUM(D344:F353)</f>
        <v>2755409250</v>
      </c>
      <c r="E354" s="1592"/>
      <c r="F354" s="1593"/>
      <c r="G354" s="1185">
        <f>SUM(G344:G353)</f>
        <v>0</v>
      </c>
      <c r="H354" s="1186">
        <f>SUM(H344:H353)</f>
        <v>2755409250</v>
      </c>
      <c r="I354" s="1187"/>
      <c r="J354" s="1666">
        <f>SUM(J344:K353)</f>
        <v>2786385900</v>
      </c>
      <c r="K354" s="1667"/>
      <c r="L354" s="1188">
        <f>SUM(L344:L353)</f>
        <v>0</v>
      </c>
      <c r="M354" s="1188">
        <f>SUM(M344:M353)</f>
        <v>2786385900</v>
      </c>
      <c r="N354" s="221"/>
      <c r="O354" s="221"/>
      <c r="P354" s="221"/>
      <c r="Q354" s="221"/>
      <c r="R354" s="221"/>
      <c r="S354" s="221"/>
      <c r="T354" s="221"/>
      <c r="U354" s="221"/>
      <c r="V354" s="221"/>
      <c r="W354" s="221"/>
      <c r="X354" s="221"/>
      <c r="Y354" s="221"/>
      <c r="Z354" s="221"/>
      <c r="AA354" s="221"/>
      <c r="AB354" s="221"/>
      <c r="AC354" s="221"/>
      <c r="AD354" s="82"/>
      <c r="AE354" s="83"/>
      <c r="AG354" s="70"/>
      <c r="AH354" s="83"/>
      <c r="AI354" s="82"/>
    </row>
    <row r="355" spans="1:35" ht="16.5" thickTop="1" thickBot="1" x14ac:dyDescent="0.4">
      <c r="A355" s="66"/>
      <c r="B355" s="1671" t="str">
        <f>$B$69</f>
        <v>31 Desember 2019</v>
      </c>
      <c r="C355" s="1671"/>
      <c r="D355" s="1671"/>
      <c r="E355" s="1671"/>
      <c r="F355" s="1671"/>
      <c r="G355" s="1671"/>
      <c r="H355" s="1671"/>
      <c r="I355" s="230"/>
      <c r="J355" s="1672" t="str">
        <f>$J$69</f>
        <v>31 Desember 2018</v>
      </c>
      <c r="K355" s="1671"/>
      <c r="L355" s="1671"/>
      <c r="M355" s="1671"/>
      <c r="N355" s="221"/>
      <c r="O355" s="221"/>
      <c r="P355" s="221"/>
      <c r="Q355" s="221"/>
      <c r="R355" s="221"/>
      <c r="S355" s="221"/>
      <c r="T355" s="221"/>
      <c r="U355" s="221"/>
      <c r="V355" s="221"/>
      <c r="W355" s="221"/>
      <c r="X355" s="221"/>
      <c r="Y355" s="221"/>
      <c r="Z355" s="221"/>
      <c r="AA355" s="221"/>
      <c r="AB355" s="221"/>
      <c r="AC355" s="221"/>
      <c r="AD355" s="82"/>
      <c r="AE355" s="83"/>
      <c r="AG355" s="70"/>
      <c r="AH355" s="83"/>
      <c r="AI355" s="82"/>
    </row>
    <row r="356" spans="1:35" ht="20.5" thickTop="1" x14ac:dyDescent="0.3">
      <c r="A356" s="66"/>
      <c r="B356" s="1668" t="s">
        <v>239</v>
      </c>
      <c r="C356" s="1669"/>
      <c r="D356" s="1669"/>
      <c r="E356" s="1669"/>
      <c r="F356" s="1669"/>
      <c r="G356" s="1669"/>
      <c r="H356" s="1669"/>
      <c r="I356" s="1669"/>
      <c r="J356" s="1669"/>
      <c r="K356" s="1669"/>
      <c r="L356" s="1669"/>
      <c r="M356" s="1670"/>
      <c r="N356" s="221"/>
      <c r="O356" s="221"/>
      <c r="P356" s="221"/>
      <c r="Q356" s="221"/>
      <c r="R356" s="221"/>
      <c r="S356" s="221"/>
      <c r="T356" s="221"/>
      <c r="U356" s="221"/>
      <c r="V356" s="221"/>
      <c r="W356" s="221"/>
      <c r="X356" s="221"/>
      <c r="Y356" s="221"/>
      <c r="Z356" s="221"/>
      <c r="AA356" s="221"/>
      <c r="AB356" s="221"/>
      <c r="AC356" s="221"/>
      <c r="AD356" s="82"/>
      <c r="AE356" s="83"/>
      <c r="AG356" s="70"/>
      <c r="AH356" s="83"/>
      <c r="AI356" s="82"/>
    </row>
    <row r="357" spans="1:35" ht="15.5" x14ac:dyDescent="0.3">
      <c r="A357" s="66"/>
      <c r="B357" s="1710"/>
      <c r="C357" s="1601"/>
      <c r="D357" s="1584" t="s">
        <v>46</v>
      </c>
      <c r="E357" s="1713"/>
      <c r="F357" s="1585"/>
      <c r="G357" s="1189" t="s">
        <v>175</v>
      </c>
      <c r="H357" s="1190" t="s">
        <v>183</v>
      </c>
      <c r="I357" s="1216"/>
      <c r="J357" s="1584" t="s">
        <v>46</v>
      </c>
      <c r="K357" s="1585"/>
      <c r="L357" s="1189" t="s">
        <v>175</v>
      </c>
      <c r="M357" s="1192" t="s">
        <v>183</v>
      </c>
      <c r="N357" s="221"/>
      <c r="O357" s="221"/>
      <c r="P357" s="221"/>
      <c r="Q357" s="221"/>
      <c r="R357" s="221"/>
      <c r="S357" s="221"/>
      <c r="T357" s="221"/>
      <c r="U357" s="221"/>
      <c r="V357" s="221"/>
      <c r="W357" s="221"/>
      <c r="X357" s="221"/>
      <c r="Y357" s="221"/>
      <c r="Z357" s="221"/>
      <c r="AA357" s="221"/>
      <c r="AB357" s="221"/>
      <c r="AC357" s="221"/>
      <c r="AD357" s="82"/>
      <c r="AE357" s="83"/>
      <c r="AG357" s="70"/>
      <c r="AH357" s="83"/>
      <c r="AI357" s="82"/>
    </row>
    <row r="358" spans="1:35" x14ac:dyDescent="0.3">
      <c r="A358" s="66"/>
      <c r="B358" s="1600">
        <v>525111</v>
      </c>
      <c r="C358" s="1601"/>
      <c r="D358" s="2049"/>
      <c r="E358" s="2051"/>
      <c r="F358" s="2052"/>
      <c r="G358" s="1224"/>
      <c r="H358" s="1194">
        <f>D358-G358</f>
        <v>0</v>
      </c>
      <c r="I358" s="1195"/>
      <c r="J358" s="1703"/>
      <c r="K358" s="1704"/>
      <c r="L358" s="1219"/>
      <c r="M358" s="1197">
        <f t="shared" ref="M358:M365" si="30">J358-L358</f>
        <v>0</v>
      </c>
      <c r="N358" s="221"/>
      <c r="O358" s="221"/>
      <c r="P358" s="221"/>
      <c r="Q358" s="221"/>
      <c r="R358" s="221"/>
      <c r="S358" s="221"/>
      <c r="T358" s="221"/>
      <c r="U358" s="221"/>
      <c r="V358" s="221"/>
      <c r="W358" s="221"/>
      <c r="X358" s="221"/>
      <c r="Y358" s="221"/>
      <c r="Z358" s="221"/>
      <c r="AA358" s="221"/>
      <c r="AB358" s="221"/>
      <c r="AC358" s="221"/>
      <c r="AD358" s="82"/>
      <c r="AE358" s="83"/>
      <c r="AF358" s="2103">
        <v>525111</v>
      </c>
      <c r="AG358" s="2103"/>
      <c r="AH358" s="83"/>
      <c r="AI358" s="82"/>
    </row>
    <row r="359" spans="1:35" x14ac:dyDescent="0.3">
      <c r="A359" s="66"/>
      <c r="B359" s="1600">
        <v>525112</v>
      </c>
      <c r="C359" s="1601"/>
      <c r="D359" s="2049"/>
      <c r="E359" s="2051"/>
      <c r="F359" s="2052"/>
      <c r="G359" s="1225"/>
      <c r="H359" s="1194">
        <f t="shared" ref="H359:H365" si="31">D359-G359</f>
        <v>0</v>
      </c>
      <c r="I359" s="1195"/>
      <c r="J359" s="1703"/>
      <c r="K359" s="1704"/>
      <c r="L359" s="1219"/>
      <c r="M359" s="1197">
        <f t="shared" si="30"/>
        <v>0</v>
      </c>
      <c r="N359" s="221"/>
      <c r="O359" s="221"/>
      <c r="P359" s="221"/>
      <c r="Q359" s="221"/>
      <c r="R359" s="221"/>
      <c r="S359" s="221"/>
      <c r="T359" s="221"/>
      <c r="U359" s="221"/>
      <c r="V359" s="221"/>
      <c r="W359" s="221"/>
      <c r="X359" s="221"/>
      <c r="Y359" s="221"/>
      <c r="Z359" s="221"/>
      <c r="AA359" s="221"/>
      <c r="AB359" s="221"/>
      <c r="AC359" s="221"/>
      <c r="AD359" s="82"/>
      <c r="AE359" s="83"/>
      <c r="AF359" s="2103">
        <v>525112</v>
      </c>
      <c r="AG359" s="2103"/>
      <c r="AH359" s="83"/>
      <c r="AI359" s="82"/>
    </row>
    <row r="360" spans="1:35" x14ac:dyDescent="0.3">
      <c r="A360" s="66"/>
      <c r="B360" s="1600">
        <v>525113</v>
      </c>
      <c r="C360" s="1601"/>
      <c r="D360" s="2049"/>
      <c r="E360" s="2051"/>
      <c r="F360" s="2052"/>
      <c r="G360" s="1225"/>
      <c r="H360" s="1194">
        <f t="shared" si="31"/>
        <v>0</v>
      </c>
      <c r="I360" s="1195"/>
      <c r="J360" s="1703"/>
      <c r="K360" s="1704"/>
      <c r="L360" s="1219"/>
      <c r="M360" s="1197">
        <f t="shared" si="30"/>
        <v>0</v>
      </c>
      <c r="N360" s="221"/>
      <c r="O360" s="221"/>
      <c r="P360" s="221"/>
      <c r="Q360" s="221"/>
      <c r="R360" s="221"/>
      <c r="S360" s="221"/>
      <c r="T360" s="221"/>
      <c r="U360" s="221"/>
      <c r="V360" s="221"/>
      <c r="W360" s="221"/>
      <c r="X360" s="221"/>
      <c r="Y360" s="221"/>
      <c r="Z360" s="221"/>
      <c r="AA360" s="221"/>
      <c r="AB360" s="221"/>
      <c r="AC360" s="221"/>
      <c r="AD360" s="82"/>
      <c r="AE360" s="83"/>
      <c r="AF360" s="2103">
        <v>525113</v>
      </c>
      <c r="AG360" s="2103"/>
      <c r="AH360" s="83"/>
      <c r="AI360" s="82"/>
    </row>
    <row r="361" spans="1:35" x14ac:dyDescent="0.3">
      <c r="A361" s="66"/>
      <c r="B361" s="1600">
        <v>525114</v>
      </c>
      <c r="C361" s="1601"/>
      <c r="D361" s="2049"/>
      <c r="E361" s="2051"/>
      <c r="F361" s="2052"/>
      <c r="G361" s="1225"/>
      <c r="H361" s="1194">
        <f t="shared" si="31"/>
        <v>0</v>
      </c>
      <c r="I361" s="1195"/>
      <c r="J361" s="1703"/>
      <c r="K361" s="1704"/>
      <c r="L361" s="1219"/>
      <c r="M361" s="1197">
        <f t="shared" si="30"/>
        <v>0</v>
      </c>
      <c r="N361" s="221"/>
      <c r="O361" s="221"/>
      <c r="P361" s="221"/>
      <c r="Q361" s="221"/>
      <c r="R361" s="221"/>
      <c r="S361" s="221"/>
      <c r="T361" s="221"/>
      <c r="U361" s="221"/>
      <c r="V361" s="221"/>
      <c r="W361" s="221"/>
      <c r="X361" s="221"/>
      <c r="Y361" s="221"/>
      <c r="Z361" s="221"/>
      <c r="AA361" s="221"/>
      <c r="AB361" s="221"/>
      <c r="AC361" s="221"/>
      <c r="AD361" s="82"/>
      <c r="AE361" s="83"/>
      <c r="AF361" s="2103">
        <v>525114</v>
      </c>
      <c r="AG361" s="2103"/>
      <c r="AH361" s="83"/>
      <c r="AI361" s="82"/>
    </row>
    <row r="362" spans="1:35" x14ac:dyDescent="0.3">
      <c r="A362" s="66"/>
      <c r="B362" s="1600">
        <v>525115</v>
      </c>
      <c r="C362" s="1601"/>
      <c r="D362" s="2049"/>
      <c r="E362" s="2050"/>
      <c r="F362" s="1674"/>
      <c r="G362" s="1225"/>
      <c r="H362" s="1194">
        <f t="shared" si="31"/>
        <v>0</v>
      </c>
      <c r="I362" s="1195"/>
      <c r="J362" s="1703"/>
      <c r="K362" s="1674"/>
      <c r="L362" s="1219"/>
      <c r="M362" s="1197">
        <f t="shared" si="30"/>
        <v>0</v>
      </c>
      <c r="N362" s="221"/>
      <c r="O362" s="221"/>
      <c r="P362" s="221"/>
      <c r="Q362" s="221"/>
      <c r="R362" s="221"/>
      <c r="S362" s="221"/>
      <c r="T362" s="221"/>
      <c r="U362" s="221"/>
      <c r="V362" s="221"/>
      <c r="W362" s="221"/>
      <c r="X362" s="221"/>
      <c r="Y362" s="221"/>
      <c r="Z362" s="221"/>
      <c r="AA362" s="221"/>
      <c r="AB362" s="221"/>
      <c r="AC362" s="221"/>
      <c r="AD362" s="82"/>
      <c r="AE362" s="83"/>
      <c r="AF362" s="2103">
        <v>525115</v>
      </c>
      <c r="AG362" s="2103"/>
      <c r="AH362" s="83"/>
      <c r="AI362" s="82"/>
    </row>
    <row r="363" spans="1:35" x14ac:dyDescent="0.3">
      <c r="A363" s="66"/>
      <c r="B363" s="1600">
        <v>525119</v>
      </c>
      <c r="C363" s="1601"/>
      <c r="D363" s="2049"/>
      <c r="E363" s="2050"/>
      <c r="F363" s="1674"/>
      <c r="G363" s="1225"/>
      <c r="H363" s="1194">
        <f t="shared" si="31"/>
        <v>0</v>
      </c>
      <c r="I363" s="1195"/>
      <c r="J363" s="1703"/>
      <c r="K363" s="1674"/>
      <c r="L363" s="1219"/>
      <c r="M363" s="1197">
        <f t="shared" si="30"/>
        <v>0</v>
      </c>
      <c r="N363" s="221"/>
      <c r="O363" s="221"/>
      <c r="P363" s="221"/>
      <c r="Q363" s="221"/>
      <c r="R363" s="221"/>
      <c r="S363" s="221"/>
      <c r="T363" s="221"/>
      <c r="U363" s="221"/>
      <c r="V363" s="221"/>
      <c r="W363" s="221"/>
      <c r="X363" s="221"/>
      <c r="Y363" s="221"/>
      <c r="Z363" s="221"/>
      <c r="AA363" s="221"/>
      <c r="AB363" s="221"/>
      <c r="AC363" s="221"/>
      <c r="AD363" s="82"/>
      <c r="AE363" s="83"/>
      <c r="AF363" s="2103">
        <v>525119</v>
      </c>
      <c r="AG363" s="2103"/>
      <c r="AH363" s="83"/>
      <c r="AI363" s="82"/>
    </row>
    <row r="364" spans="1:35" ht="15.5" x14ac:dyDescent="0.3">
      <c r="A364" s="66"/>
      <c r="B364" s="1673"/>
      <c r="C364" s="1674"/>
      <c r="D364" s="2049"/>
      <c r="E364" s="2051"/>
      <c r="F364" s="2052"/>
      <c r="G364" s="1225"/>
      <c r="H364" s="1194">
        <f t="shared" si="31"/>
        <v>0</v>
      </c>
      <c r="I364" s="1195"/>
      <c r="J364" s="1703"/>
      <c r="K364" s="1704"/>
      <c r="L364" s="1219"/>
      <c r="M364" s="1197">
        <f t="shared" si="30"/>
        <v>0</v>
      </c>
      <c r="N364" s="221"/>
      <c r="O364" s="221"/>
      <c r="P364" s="221"/>
      <c r="Q364" s="221"/>
      <c r="R364" s="221"/>
      <c r="S364" s="221"/>
      <c r="T364" s="221"/>
      <c r="U364" s="221"/>
      <c r="V364" s="221"/>
      <c r="W364" s="221"/>
      <c r="X364" s="221"/>
      <c r="Y364" s="221"/>
      <c r="Z364" s="221"/>
      <c r="AA364" s="221"/>
      <c r="AB364" s="221"/>
      <c r="AC364" s="221"/>
      <c r="AD364" s="82"/>
      <c r="AE364" s="83"/>
      <c r="AG364" s="70"/>
      <c r="AH364" s="83"/>
      <c r="AI364" s="82"/>
    </row>
    <row r="365" spans="1:35" ht="16" thickBot="1" x14ac:dyDescent="0.35">
      <c r="A365" s="66"/>
      <c r="B365" s="1664"/>
      <c r="C365" s="1665"/>
      <c r="D365" s="2049"/>
      <c r="E365" s="2051"/>
      <c r="F365" s="2052"/>
      <c r="G365" s="1225"/>
      <c r="H365" s="1194">
        <f t="shared" si="31"/>
        <v>0</v>
      </c>
      <c r="I365" s="1195"/>
      <c r="J365" s="1703"/>
      <c r="K365" s="1704"/>
      <c r="L365" s="1219"/>
      <c r="M365" s="1197">
        <f t="shared" si="30"/>
        <v>0</v>
      </c>
      <c r="N365" s="221"/>
      <c r="O365" s="221"/>
      <c r="P365" s="221"/>
      <c r="Q365" s="221"/>
      <c r="R365" s="221"/>
      <c r="S365" s="221"/>
      <c r="T365" s="221"/>
      <c r="U365" s="221"/>
      <c r="V365" s="221"/>
      <c r="W365" s="221"/>
      <c r="X365" s="221"/>
      <c r="Y365" s="221"/>
      <c r="Z365" s="221"/>
      <c r="AA365" s="221"/>
      <c r="AB365" s="221"/>
      <c r="AC365" s="221"/>
      <c r="AD365" s="82"/>
      <c r="AE365" s="83"/>
      <c r="AG365" s="70"/>
      <c r="AH365" s="83"/>
      <c r="AI365" s="82"/>
    </row>
    <row r="366" spans="1:35" ht="16.5" thickTop="1" thickBot="1" x14ac:dyDescent="0.35">
      <c r="A366" s="66"/>
      <c r="B366" s="1214" t="s">
        <v>116</v>
      </c>
      <c r="C366" s="1215"/>
      <c r="D366" s="1591">
        <f>SUM(D358:F365)</f>
        <v>0</v>
      </c>
      <c r="E366" s="1592"/>
      <c r="F366" s="1593"/>
      <c r="G366" s="1185">
        <f>SUM(G358:G365)</f>
        <v>0</v>
      </c>
      <c r="H366" s="1186">
        <f>SUM(H358:H365)</f>
        <v>0</v>
      </c>
      <c r="I366" s="1187"/>
      <c r="J366" s="1666">
        <f>SUM(J358:K365)</f>
        <v>0</v>
      </c>
      <c r="K366" s="1667"/>
      <c r="L366" s="1188">
        <f>SUM(L358:L365)</f>
        <v>0</v>
      </c>
      <c r="M366" s="1188">
        <f>SUM(M358:M365)</f>
        <v>0</v>
      </c>
      <c r="N366" s="221"/>
      <c r="O366" s="221"/>
      <c r="P366" s="221"/>
      <c r="Q366" s="221"/>
      <c r="R366" s="221"/>
      <c r="S366" s="221"/>
      <c r="T366" s="221"/>
      <c r="U366" s="221"/>
      <c r="V366" s="221"/>
      <c r="W366" s="221"/>
      <c r="X366" s="221"/>
      <c r="Y366" s="221"/>
      <c r="Z366" s="221"/>
      <c r="AA366" s="221"/>
      <c r="AB366" s="221"/>
      <c r="AC366" s="221"/>
      <c r="AD366" s="82"/>
      <c r="AE366" s="83"/>
      <c r="AG366" s="70"/>
      <c r="AH366" s="83"/>
      <c r="AI366" s="82"/>
    </row>
    <row r="367" spans="1:35" s="86" customFormat="1" ht="16.5" thickTop="1" thickBot="1" x14ac:dyDescent="0.4">
      <c r="A367" s="79"/>
      <c r="B367" s="1671" t="str">
        <f>$B$69</f>
        <v>31 Desember 2019</v>
      </c>
      <c r="C367" s="1671"/>
      <c r="D367" s="1671"/>
      <c r="E367" s="1671"/>
      <c r="F367" s="1671"/>
      <c r="G367" s="1671"/>
      <c r="H367" s="1671"/>
      <c r="I367" s="230"/>
      <c r="J367" s="1672" t="str">
        <f>$J$69</f>
        <v>31 Desember 2018</v>
      </c>
      <c r="K367" s="1671"/>
      <c r="L367" s="1671"/>
      <c r="M367" s="1671"/>
      <c r="N367" s="233"/>
      <c r="O367" s="233"/>
      <c r="P367" s="233"/>
      <c r="Q367" s="233"/>
      <c r="R367" s="233"/>
      <c r="S367" s="233"/>
      <c r="T367" s="233"/>
      <c r="U367" s="233"/>
      <c r="V367" s="233"/>
      <c r="W367" s="233"/>
      <c r="X367" s="233"/>
      <c r="Y367" s="233"/>
      <c r="Z367" s="233"/>
      <c r="AA367" s="233"/>
      <c r="AB367" s="233"/>
      <c r="AC367" s="233"/>
      <c r="AD367" s="84"/>
      <c r="AE367" s="85"/>
      <c r="AF367" s="68"/>
      <c r="AG367" s="70"/>
      <c r="AH367" s="85"/>
      <c r="AI367" s="84"/>
    </row>
    <row r="368" spans="1:35" ht="15" customHeight="1" thickTop="1" x14ac:dyDescent="0.3">
      <c r="A368" s="66"/>
      <c r="B368" s="2056" t="s">
        <v>240</v>
      </c>
      <c r="C368" s="2057"/>
      <c r="D368" s="2057"/>
      <c r="E368" s="2057"/>
      <c r="F368" s="2057"/>
      <c r="G368" s="2057"/>
      <c r="H368" s="2057"/>
      <c r="I368" s="2057"/>
      <c r="J368" s="2057"/>
      <c r="K368" s="2057"/>
      <c r="L368" s="2057"/>
      <c r="M368" s="2058"/>
      <c r="N368" s="221"/>
      <c r="O368" s="221"/>
      <c r="P368" s="221"/>
      <c r="Q368" s="221"/>
      <c r="R368" s="221"/>
      <c r="S368" s="221"/>
      <c r="T368" s="221"/>
      <c r="U368" s="221"/>
      <c r="V368" s="221"/>
      <c r="W368" s="221"/>
      <c r="X368" s="221"/>
      <c r="Y368" s="221"/>
      <c r="Z368" s="221"/>
      <c r="AA368" s="221"/>
      <c r="AB368" s="221"/>
      <c r="AC368" s="221"/>
      <c r="AD368" s="82"/>
      <c r="AE368" s="83"/>
      <c r="AG368" s="70"/>
      <c r="AH368" s="83"/>
      <c r="AI368" s="82"/>
    </row>
    <row r="369" spans="1:35" ht="33" customHeight="1" x14ac:dyDescent="0.3">
      <c r="A369" s="66"/>
      <c r="B369" s="2059"/>
      <c r="C369" s="2060"/>
      <c r="D369" s="2060"/>
      <c r="E369" s="2060"/>
      <c r="F369" s="2060"/>
      <c r="G369" s="2060"/>
      <c r="H369" s="2060"/>
      <c r="I369" s="2060"/>
      <c r="J369" s="2060"/>
      <c r="K369" s="2060"/>
      <c r="L369" s="2060"/>
      <c r="M369" s="2061"/>
      <c r="N369" s="221"/>
      <c r="O369" s="221"/>
      <c r="P369" s="221"/>
      <c r="Q369" s="221"/>
      <c r="R369" s="221"/>
      <c r="S369" s="221"/>
      <c r="T369" s="221"/>
      <c r="U369" s="221"/>
      <c r="V369" s="221"/>
      <c r="W369" s="221"/>
      <c r="X369" s="221"/>
      <c r="Y369" s="221"/>
      <c r="Z369" s="221"/>
      <c r="AA369" s="221"/>
      <c r="AB369" s="221"/>
      <c r="AC369" s="221"/>
      <c r="AD369" s="82"/>
      <c r="AE369" s="83"/>
      <c r="AG369" s="70"/>
      <c r="AH369" s="83"/>
      <c r="AI369" s="82"/>
    </row>
    <row r="370" spans="1:35" ht="15.5" x14ac:dyDescent="0.3">
      <c r="A370" s="66"/>
      <c r="B370" s="1710"/>
      <c r="C370" s="1601"/>
      <c r="D370" s="1584" t="s">
        <v>46</v>
      </c>
      <c r="E370" s="1713"/>
      <c r="F370" s="1585"/>
      <c r="G370" s="1189" t="s">
        <v>175</v>
      </c>
      <c r="H370" s="1190" t="s">
        <v>183</v>
      </c>
      <c r="I370" s="1216"/>
      <c r="J370" s="1584" t="s">
        <v>46</v>
      </c>
      <c r="K370" s="1585"/>
      <c r="L370" s="1189" t="s">
        <v>175</v>
      </c>
      <c r="M370" s="1192" t="s">
        <v>183</v>
      </c>
      <c r="N370" s="221"/>
      <c r="O370" s="221"/>
      <c r="P370" s="221"/>
      <c r="Q370" s="221"/>
      <c r="R370" s="221"/>
      <c r="S370" s="221"/>
      <c r="T370" s="221"/>
      <c r="U370" s="221"/>
      <c r="V370" s="221"/>
      <c r="W370" s="221"/>
      <c r="X370" s="221"/>
      <c r="Y370" s="221"/>
      <c r="Z370" s="221"/>
      <c r="AA370" s="221"/>
      <c r="AB370" s="221"/>
      <c r="AC370" s="221"/>
      <c r="AD370" s="82"/>
      <c r="AE370" s="83"/>
      <c r="AG370" s="70"/>
      <c r="AH370" s="83"/>
      <c r="AI370" s="82"/>
    </row>
    <row r="371" spans="1:35" x14ac:dyDescent="0.3">
      <c r="A371" s="66"/>
      <c r="B371" s="1600">
        <v>526111</v>
      </c>
      <c r="C371" s="1601"/>
      <c r="D371" s="2049"/>
      <c r="E371" s="2051"/>
      <c r="F371" s="2052"/>
      <c r="G371" s="1224"/>
      <c r="H371" s="1194">
        <f>D371-G371</f>
        <v>0</v>
      </c>
      <c r="I371" s="1195"/>
      <c r="J371" s="1703"/>
      <c r="K371" s="1704"/>
      <c r="L371" s="1219"/>
      <c r="M371" s="1197">
        <f t="shared" ref="M371:M380" si="32">J371-L371</f>
        <v>0</v>
      </c>
      <c r="N371" s="221"/>
      <c r="O371" s="221"/>
      <c r="P371" s="221"/>
      <c r="Q371" s="221"/>
      <c r="R371" s="221"/>
      <c r="S371" s="221"/>
      <c r="T371" s="221"/>
      <c r="U371" s="221"/>
      <c r="V371" s="221"/>
      <c r="W371" s="221"/>
      <c r="X371" s="221"/>
      <c r="Y371" s="221"/>
      <c r="Z371" s="221"/>
      <c r="AA371" s="221"/>
      <c r="AB371" s="221"/>
      <c r="AC371" s="221"/>
      <c r="AD371" s="82"/>
      <c r="AE371" s="83"/>
      <c r="AF371" s="2101">
        <v>526111</v>
      </c>
      <c r="AG371" s="2101"/>
      <c r="AH371" s="83"/>
      <c r="AI371" s="82"/>
    </row>
    <row r="372" spans="1:35" x14ac:dyDescent="0.3">
      <c r="A372" s="66"/>
      <c r="B372" s="1600">
        <v>526112</v>
      </c>
      <c r="C372" s="1601"/>
      <c r="D372" s="1586"/>
      <c r="E372" s="1587"/>
      <c r="F372" s="1588"/>
      <c r="G372" s="1225"/>
      <c r="H372" s="1194">
        <f t="shared" ref="H372:H380" si="33">D372-G372</f>
        <v>0</v>
      </c>
      <c r="I372" s="1195"/>
      <c r="J372" s="1659"/>
      <c r="K372" s="1660"/>
      <c r="L372" s="1219"/>
      <c r="M372" s="1197">
        <f t="shared" si="32"/>
        <v>0</v>
      </c>
      <c r="N372" s="221"/>
      <c r="O372" s="221"/>
      <c r="P372" s="221"/>
      <c r="Q372" s="221"/>
      <c r="R372" s="221"/>
      <c r="S372" s="221"/>
      <c r="T372" s="221"/>
      <c r="U372" s="221"/>
      <c r="V372" s="221"/>
      <c r="W372" s="221"/>
      <c r="X372" s="221"/>
      <c r="Y372" s="221"/>
      <c r="Z372" s="221"/>
      <c r="AA372" s="221"/>
      <c r="AB372" s="221"/>
      <c r="AC372" s="221"/>
      <c r="AD372" s="82"/>
      <c r="AE372" s="83"/>
      <c r="AF372" s="2101">
        <v>526112</v>
      </c>
      <c r="AG372" s="2101"/>
      <c r="AH372" s="83"/>
      <c r="AI372" s="82"/>
    </row>
    <row r="373" spans="1:35" x14ac:dyDescent="0.3">
      <c r="A373" s="66"/>
      <c r="B373" s="1600">
        <v>526113</v>
      </c>
      <c r="C373" s="1601"/>
      <c r="D373" s="1586"/>
      <c r="E373" s="1587"/>
      <c r="F373" s="1588"/>
      <c r="G373" s="1225"/>
      <c r="H373" s="1194">
        <f t="shared" si="33"/>
        <v>0</v>
      </c>
      <c r="I373" s="1195"/>
      <c r="J373" s="1659"/>
      <c r="K373" s="1660"/>
      <c r="L373" s="1219"/>
      <c r="M373" s="1197">
        <f t="shared" si="32"/>
        <v>0</v>
      </c>
      <c r="N373" s="221"/>
      <c r="O373" s="221"/>
      <c r="P373" s="221"/>
      <c r="Q373" s="221"/>
      <c r="R373" s="221"/>
      <c r="S373" s="221"/>
      <c r="T373" s="221"/>
      <c r="U373" s="221"/>
      <c r="V373" s="221"/>
      <c r="W373" s="221"/>
      <c r="X373" s="221"/>
      <c r="Y373" s="221"/>
      <c r="Z373" s="221"/>
      <c r="AA373" s="221"/>
      <c r="AB373" s="221"/>
      <c r="AC373" s="221"/>
      <c r="AD373" s="82"/>
      <c r="AE373" s="83"/>
      <c r="AF373" s="2101">
        <v>526113</v>
      </c>
      <c r="AG373" s="2101"/>
      <c r="AH373" s="83"/>
      <c r="AI373" s="82"/>
    </row>
    <row r="374" spans="1:35" x14ac:dyDescent="0.3">
      <c r="A374" s="66"/>
      <c r="B374" s="1600">
        <v>526114</v>
      </c>
      <c r="C374" s="1601"/>
      <c r="D374" s="2049"/>
      <c r="E374" s="2051"/>
      <c r="F374" s="2052"/>
      <c r="G374" s="1225"/>
      <c r="H374" s="1194">
        <f t="shared" si="33"/>
        <v>0</v>
      </c>
      <c r="I374" s="1195"/>
      <c r="J374" s="1703"/>
      <c r="K374" s="1704"/>
      <c r="L374" s="1219"/>
      <c r="M374" s="1197">
        <f t="shared" si="32"/>
        <v>0</v>
      </c>
      <c r="N374" s="221"/>
      <c r="O374" s="221"/>
      <c r="P374" s="221"/>
      <c r="Q374" s="221"/>
      <c r="R374" s="221"/>
      <c r="S374" s="221"/>
      <c r="T374" s="221"/>
      <c r="U374" s="221"/>
      <c r="V374" s="221"/>
      <c r="W374" s="221"/>
      <c r="X374" s="221"/>
      <c r="Y374" s="221"/>
      <c r="Z374" s="221"/>
      <c r="AA374" s="221"/>
      <c r="AB374" s="221"/>
      <c r="AC374" s="221"/>
      <c r="AD374" s="82"/>
      <c r="AE374" s="83"/>
      <c r="AF374" s="2101">
        <v>526114</v>
      </c>
      <c r="AG374" s="2101"/>
      <c r="AH374" s="83"/>
      <c r="AI374" s="82"/>
    </row>
    <row r="375" spans="1:35" x14ac:dyDescent="0.3">
      <c r="A375" s="66"/>
      <c r="B375" s="1600">
        <v>526115</v>
      </c>
      <c r="C375" s="1601"/>
      <c r="D375" s="2049"/>
      <c r="E375" s="2050"/>
      <c r="F375" s="1674"/>
      <c r="G375" s="1225"/>
      <c r="H375" s="1194">
        <f t="shared" si="33"/>
        <v>0</v>
      </c>
      <c r="I375" s="1195"/>
      <c r="J375" s="1703"/>
      <c r="K375" s="1674"/>
      <c r="L375" s="1219"/>
      <c r="M375" s="1197">
        <f t="shared" si="32"/>
        <v>0</v>
      </c>
      <c r="N375" s="221"/>
      <c r="O375" s="221"/>
      <c r="P375" s="221"/>
      <c r="Q375" s="221"/>
      <c r="R375" s="221"/>
      <c r="S375" s="221"/>
      <c r="T375" s="221"/>
      <c r="U375" s="221"/>
      <c r="V375" s="221"/>
      <c r="W375" s="221"/>
      <c r="X375" s="221"/>
      <c r="Y375" s="221"/>
      <c r="Z375" s="221"/>
      <c r="AA375" s="221"/>
      <c r="AB375" s="221"/>
      <c r="AC375" s="221"/>
      <c r="AD375" s="82"/>
      <c r="AE375" s="83"/>
      <c r="AF375" s="2106">
        <v>526115</v>
      </c>
      <c r="AG375" s="2106"/>
      <c r="AH375" s="83"/>
      <c r="AI375" s="82"/>
    </row>
    <row r="376" spans="1:35" x14ac:dyDescent="0.3">
      <c r="A376" s="66"/>
      <c r="B376" s="1600">
        <v>526211</v>
      </c>
      <c r="C376" s="1601"/>
      <c r="D376" s="2049"/>
      <c r="E376" s="2050"/>
      <c r="F376" s="1674"/>
      <c r="G376" s="1225"/>
      <c r="H376" s="1194">
        <f t="shared" si="33"/>
        <v>0</v>
      </c>
      <c r="I376" s="1195"/>
      <c r="J376" s="1703"/>
      <c r="K376" s="1674"/>
      <c r="L376" s="1219"/>
      <c r="M376" s="1197">
        <f t="shared" si="32"/>
        <v>0</v>
      </c>
      <c r="N376" s="221"/>
      <c r="O376" s="221"/>
      <c r="P376" s="221"/>
      <c r="Q376" s="221"/>
      <c r="R376" s="221"/>
      <c r="S376" s="221"/>
      <c r="T376" s="221"/>
      <c r="U376" s="221"/>
      <c r="V376" s="221"/>
      <c r="W376" s="221"/>
      <c r="X376" s="221"/>
      <c r="Y376" s="221"/>
      <c r="Z376" s="221"/>
      <c r="AA376" s="221"/>
      <c r="AB376" s="221"/>
      <c r="AC376" s="221"/>
      <c r="AD376" s="82"/>
      <c r="AE376" s="83"/>
      <c r="AF376" s="2106">
        <v>526211</v>
      </c>
      <c r="AG376" s="2106"/>
      <c r="AH376" s="83"/>
      <c r="AI376" s="82"/>
    </row>
    <row r="377" spans="1:35" x14ac:dyDescent="0.3">
      <c r="A377" s="66"/>
      <c r="B377" s="1600">
        <v>526212</v>
      </c>
      <c r="C377" s="1601"/>
      <c r="D377" s="2049"/>
      <c r="E377" s="2050"/>
      <c r="F377" s="1674"/>
      <c r="G377" s="1225"/>
      <c r="H377" s="1194">
        <f t="shared" si="33"/>
        <v>0</v>
      </c>
      <c r="I377" s="1195"/>
      <c r="J377" s="1703"/>
      <c r="K377" s="1674"/>
      <c r="L377" s="1219"/>
      <c r="M377" s="1197">
        <f t="shared" si="32"/>
        <v>0</v>
      </c>
      <c r="N377" s="221"/>
      <c r="O377" s="221"/>
      <c r="P377" s="221"/>
      <c r="Q377" s="221"/>
      <c r="R377" s="221"/>
      <c r="S377" s="221"/>
      <c r="T377" s="221"/>
      <c r="U377" s="221"/>
      <c r="V377" s="221"/>
      <c r="W377" s="221"/>
      <c r="X377" s="221"/>
      <c r="Y377" s="221"/>
      <c r="Z377" s="221"/>
      <c r="AA377" s="221"/>
      <c r="AB377" s="221"/>
      <c r="AC377" s="221"/>
      <c r="AD377" s="82"/>
      <c r="AE377" s="83"/>
      <c r="AF377" s="2106">
        <v>526212</v>
      </c>
      <c r="AG377" s="2106"/>
      <c r="AH377" s="83"/>
      <c r="AI377" s="82"/>
    </row>
    <row r="378" spans="1:35" x14ac:dyDescent="0.3">
      <c r="A378" s="66"/>
      <c r="B378" s="1600">
        <v>526311</v>
      </c>
      <c r="C378" s="1601"/>
      <c r="D378" s="2053"/>
      <c r="E378" s="2054"/>
      <c r="F378" s="2055"/>
      <c r="G378" s="1225"/>
      <c r="H378" s="1194">
        <f t="shared" si="33"/>
        <v>0</v>
      </c>
      <c r="I378" s="1195"/>
      <c r="J378" s="1589">
        <v>230190000</v>
      </c>
      <c r="K378" s="2055"/>
      <c r="L378" s="1219"/>
      <c r="M378" s="1197">
        <f t="shared" si="32"/>
        <v>230190000</v>
      </c>
      <c r="N378" s="221"/>
      <c r="O378" s="221"/>
      <c r="P378" s="221"/>
      <c r="Q378" s="221"/>
      <c r="R378" s="221"/>
      <c r="S378" s="221"/>
      <c r="T378" s="221"/>
      <c r="U378" s="221"/>
      <c r="V378" s="221"/>
      <c r="W378" s="221"/>
      <c r="X378" s="221"/>
      <c r="Y378" s="221"/>
      <c r="Z378" s="221"/>
      <c r="AA378" s="221"/>
      <c r="AB378" s="221"/>
      <c r="AC378" s="221"/>
      <c r="AD378" s="82"/>
      <c r="AE378" s="83"/>
      <c r="AF378" s="2106">
        <v>526311</v>
      </c>
      <c r="AG378" s="2106"/>
      <c r="AH378" s="83"/>
      <c r="AI378" s="82"/>
    </row>
    <row r="379" spans="1:35" ht="15.5" x14ac:dyDescent="0.3">
      <c r="A379" s="66"/>
      <c r="B379" s="1673">
        <v>526312</v>
      </c>
      <c r="C379" s="1674"/>
      <c r="D379" s="2049">
        <v>220000000</v>
      </c>
      <c r="E379" s="2051"/>
      <c r="F379" s="2052"/>
      <c r="G379" s="1225"/>
      <c r="H379" s="1194">
        <f t="shared" si="33"/>
        <v>220000000</v>
      </c>
      <c r="I379" s="1195"/>
      <c r="J379" s="1703"/>
      <c r="K379" s="1704"/>
      <c r="L379" s="1219"/>
      <c r="M379" s="1197">
        <f t="shared" si="32"/>
        <v>0</v>
      </c>
      <c r="N379" s="221"/>
      <c r="O379" s="221"/>
      <c r="P379" s="221"/>
      <c r="Q379" s="221"/>
      <c r="R379" s="221"/>
      <c r="S379" s="221"/>
      <c r="T379" s="221"/>
      <c r="U379" s="221"/>
      <c r="V379" s="221"/>
      <c r="W379" s="221"/>
      <c r="X379" s="221"/>
      <c r="Y379" s="221"/>
      <c r="Z379" s="221"/>
      <c r="AA379" s="221"/>
      <c r="AB379" s="221"/>
      <c r="AC379" s="221"/>
      <c r="AD379" s="82"/>
      <c r="AE379" s="83"/>
      <c r="AF379" s="83"/>
      <c r="AG379" s="70"/>
      <c r="AH379" s="83"/>
      <c r="AI379" s="82"/>
    </row>
    <row r="380" spans="1:35" ht="16" thickBot="1" x14ac:dyDescent="0.35">
      <c r="A380" s="66"/>
      <c r="B380" s="1664"/>
      <c r="C380" s="1665"/>
      <c r="D380" s="2049"/>
      <c r="E380" s="2051"/>
      <c r="F380" s="2052"/>
      <c r="G380" s="1225"/>
      <c r="H380" s="1194">
        <f t="shared" si="33"/>
        <v>0</v>
      </c>
      <c r="I380" s="1195"/>
      <c r="J380" s="1703"/>
      <c r="K380" s="1704"/>
      <c r="L380" s="1219"/>
      <c r="M380" s="1197">
        <f t="shared" si="32"/>
        <v>0</v>
      </c>
      <c r="N380" s="221"/>
      <c r="O380" s="221"/>
      <c r="P380" s="221"/>
      <c r="Q380" s="221"/>
      <c r="R380" s="221"/>
      <c r="S380" s="221"/>
      <c r="T380" s="221"/>
      <c r="U380" s="221"/>
      <c r="V380" s="221"/>
      <c r="W380" s="221"/>
      <c r="X380" s="221"/>
      <c r="Y380" s="221"/>
      <c r="Z380" s="221"/>
      <c r="AA380" s="221"/>
      <c r="AB380" s="221"/>
      <c r="AC380" s="221"/>
      <c r="AD380" s="82"/>
      <c r="AE380" s="83"/>
      <c r="AF380" s="83"/>
      <c r="AG380" s="70"/>
      <c r="AH380" s="83"/>
      <c r="AI380" s="82"/>
    </row>
    <row r="381" spans="1:35" ht="16.5" thickTop="1" thickBot="1" x14ac:dyDescent="0.35">
      <c r="A381" s="66"/>
      <c r="B381" s="1214" t="s">
        <v>116</v>
      </c>
      <c r="C381" s="1215"/>
      <c r="D381" s="1591">
        <f>SUM(D371:F380)</f>
        <v>220000000</v>
      </c>
      <c r="E381" s="1592"/>
      <c r="F381" s="1593"/>
      <c r="G381" s="1185">
        <f>SUM(G371:G380)</f>
        <v>0</v>
      </c>
      <c r="H381" s="1186">
        <f>SUM(H371:H380)</f>
        <v>220000000</v>
      </c>
      <c r="I381" s="1187"/>
      <c r="J381" s="1666">
        <f>SUM(J371:K380)</f>
        <v>230190000</v>
      </c>
      <c r="K381" s="1667"/>
      <c r="L381" s="1188">
        <f>SUM(L371:L380)</f>
        <v>0</v>
      </c>
      <c r="M381" s="1188">
        <f>SUM(M371:M380)</f>
        <v>230190000</v>
      </c>
      <c r="N381" s="221"/>
      <c r="O381" s="221"/>
      <c r="P381" s="221"/>
      <c r="Q381" s="221"/>
      <c r="R381" s="221"/>
      <c r="S381" s="221"/>
      <c r="T381" s="221"/>
      <c r="U381" s="221"/>
      <c r="V381" s="221"/>
      <c r="W381" s="221"/>
      <c r="X381" s="221"/>
      <c r="Y381" s="221"/>
      <c r="Z381" s="221"/>
      <c r="AA381" s="221"/>
      <c r="AB381" s="221"/>
      <c r="AC381" s="221"/>
      <c r="AD381" s="82"/>
      <c r="AE381" s="83"/>
      <c r="AF381" s="83"/>
      <c r="AG381" s="70"/>
      <c r="AH381" s="83"/>
      <c r="AI381" s="82"/>
    </row>
    <row r="382" spans="1:35" ht="16" thickTop="1" x14ac:dyDescent="0.3">
      <c r="A382" s="66"/>
      <c r="B382" s="221"/>
      <c r="C382" s="221"/>
      <c r="D382" s="221"/>
      <c r="E382" s="221"/>
      <c r="F382" s="221"/>
      <c r="G382" s="221"/>
      <c r="H382" s="221"/>
      <c r="I382" s="221"/>
      <c r="J382" s="221"/>
      <c r="K382" s="221"/>
      <c r="L382" s="221"/>
      <c r="M382" s="221"/>
      <c r="N382" s="221"/>
      <c r="O382" s="221"/>
      <c r="P382" s="221"/>
      <c r="Q382" s="221"/>
      <c r="R382" s="221"/>
      <c r="S382" s="221"/>
      <c r="T382" s="221"/>
      <c r="U382" s="221"/>
      <c r="V382" s="221"/>
      <c r="W382" s="221"/>
      <c r="X382" s="221"/>
      <c r="Y382" s="221"/>
      <c r="Z382" s="221"/>
      <c r="AA382" s="221"/>
      <c r="AB382" s="221"/>
      <c r="AC382" s="221"/>
      <c r="AD382" s="82"/>
      <c r="AE382" s="83"/>
      <c r="AF382" s="83"/>
      <c r="AG382" s="70"/>
      <c r="AH382" s="83"/>
      <c r="AI382" s="82"/>
    </row>
    <row r="383" spans="1:35" ht="15.5" x14ac:dyDescent="0.3">
      <c r="A383" s="66"/>
      <c r="B383" s="1728" t="s">
        <v>1107</v>
      </c>
      <c r="C383" s="1729"/>
      <c r="D383" s="1729"/>
      <c r="E383" s="1729"/>
      <c r="F383" s="1729"/>
      <c r="G383" s="1729"/>
      <c r="H383" s="1729"/>
      <c r="I383" s="1729"/>
      <c r="J383" s="1729"/>
      <c r="K383" s="1729"/>
      <c r="L383" s="1729"/>
      <c r="M383" s="1729"/>
      <c r="N383" s="221"/>
      <c r="O383" s="221"/>
      <c r="P383" s="221"/>
      <c r="Q383" s="221"/>
      <c r="R383" s="221"/>
      <c r="S383" s="221"/>
      <c r="T383" s="221"/>
      <c r="U383" s="221"/>
      <c r="V383" s="221"/>
      <c r="W383" s="221"/>
      <c r="X383" s="221"/>
      <c r="Y383" s="221"/>
      <c r="Z383" s="221"/>
      <c r="AA383" s="221"/>
      <c r="AB383" s="221"/>
      <c r="AC383" s="221"/>
      <c r="AD383" s="82"/>
      <c r="AE383" s="83"/>
      <c r="AF383" s="83"/>
      <c r="AG383" s="70"/>
      <c r="AH383" s="83"/>
      <c r="AI383" s="82"/>
    </row>
    <row r="384" spans="1:35" ht="16" thickBot="1" x14ac:dyDescent="0.35">
      <c r="A384" s="66"/>
      <c r="B384" s="2102" t="s">
        <v>172</v>
      </c>
      <c r="C384" s="2102"/>
      <c r="D384" s="2102"/>
      <c r="E384" s="2102"/>
      <c r="F384" s="2102"/>
      <c r="G384" s="2102"/>
      <c r="H384" s="2102"/>
      <c r="I384" s="2102"/>
      <c r="J384" s="2102"/>
      <c r="K384" s="2102"/>
      <c r="L384" s="2102"/>
      <c r="M384" s="2102"/>
      <c r="N384" s="221"/>
      <c r="O384" s="221"/>
      <c r="P384" s="221"/>
      <c r="Q384" s="221"/>
      <c r="R384" s="221"/>
      <c r="S384" s="221"/>
      <c r="T384" s="221"/>
      <c r="U384" s="221"/>
      <c r="V384" s="221"/>
      <c r="W384" s="221"/>
      <c r="X384" s="221"/>
      <c r="Y384" s="221"/>
      <c r="Z384" s="221"/>
      <c r="AA384" s="221"/>
      <c r="AB384" s="221"/>
      <c r="AC384" s="221"/>
      <c r="AD384" s="82"/>
      <c r="AE384" s="83"/>
      <c r="AF384" s="83"/>
      <c r="AG384" s="70"/>
      <c r="AH384" s="83"/>
      <c r="AI384" s="82"/>
    </row>
    <row r="385" spans="1:35" ht="16.5" thickTop="1" thickBot="1" x14ac:dyDescent="0.4">
      <c r="A385" s="66"/>
      <c r="B385" s="1671" t="str">
        <f>$B$69</f>
        <v>31 Desember 2019</v>
      </c>
      <c r="C385" s="1671"/>
      <c r="D385" s="1671"/>
      <c r="E385" s="1671"/>
      <c r="F385" s="1671"/>
      <c r="G385" s="1671"/>
      <c r="H385" s="1671"/>
      <c r="I385" s="230"/>
      <c r="J385" s="1672" t="str">
        <f>$J$69</f>
        <v>31 Desember 2018</v>
      </c>
      <c r="K385" s="1671"/>
      <c r="L385" s="1671"/>
      <c r="M385" s="1671"/>
      <c r="N385" s="221"/>
      <c r="O385" s="221"/>
      <c r="P385" s="1797" t="s">
        <v>1159</v>
      </c>
      <c r="Q385" s="1797"/>
      <c r="R385" s="1797"/>
      <c r="S385" s="1797"/>
      <c r="T385" s="1797"/>
      <c r="U385" s="1797"/>
      <c r="V385" s="1797"/>
      <c r="W385" s="1797"/>
      <c r="X385" s="1797"/>
      <c r="Y385" s="1797"/>
      <c r="Z385" s="1797"/>
      <c r="AA385" s="1797"/>
      <c r="AB385" s="1797"/>
      <c r="AC385" s="221"/>
      <c r="AD385" s="82"/>
      <c r="AE385" s="83"/>
      <c r="AF385" s="83"/>
      <c r="AG385" s="70"/>
      <c r="AH385" s="83"/>
      <c r="AI385" s="82"/>
    </row>
    <row r="386" spans="1:35" ht="32.25" customHeight="1" thickTop="1" thickBot="1" x14ac:dyDescent="0.35">
      <c r="A386" s="66"/>
      <c r="B386" s="1668" t="s">
        <v>241</v>
      </c>
      <c r="C386" s="1669"/>
      <c r="D386" s="1669"/>
      <c r="E386" s="1669"/>
      <c r="F386" s="1669"/>
      <c r="G386" s="1669"/>
      <c r="H386" s="1669"/>
      <c r="I386" s="1669"/>
      <c r="J386" s="1669"/>
      <c r="K386" s="1669"/>
      <c r="L386" s="1669"/>
      <c r="M386" s="1670"/>
      <c r="N386" s="221"/>
      <c r="O386" s="221"/>
      <c r="P386" s="1901" t="s">
        <v>1107</v>
      </c>
      <c r="Q386" s="1901"/>
      <c r="R386" s="1901"/>
      <c r="S386" s="1901"/>
      <c r="T386" s="1901"/>
      <c r="U386" s="1901"/>
      <c r="V386" s="1901"/>
      <c r="W386" s="1714" t="str">
        <f>""&amp;$L$24&amp;" (Rp)"</f>
        <v>TA 2019 (Rp)</v>
      </c>
      <c r="X386" s="1714"/>
      <c r="Y386" s="1714"/>
      <c r="Z386" s="1714" t="str">
        <f>""&amp;$L$25&amp;" (Rp)"</f>
        <v>TA 2018 (Rp)</v>
      </c>
      <c r="AA386" s="1714"/>
      <c r="AB386" s="1714"/>
      <c r="AC386" s="221"/>
      <c r="AD386" s="82"/>
      <c r="AE386" s="83"/>
      <c r="AF386" s="83"/>
      <c r="AG386" s="70"/>
      <c r="AH386" s="83"/>
      <c r="AI386" s="82"/>
    </row>
    <row r="387" spans="1:35" ht="16" thickTop="1" x14ac:dyDescent="0.35">
      <c r="A387" s="66"/>
      <c r="B387" s="2085"/>
      <c r="C387" s="2001"/>
      <c r="D387" s="2086" t="s">
        <v>46</v>
      </c>
      <c r="E387" s="2087"/>
      <c r="F387" s="2088"/>
      <c r="G387" s="77" t="s">
        <v>175</v>
      </c>
      <c r="H387" s="210" t="s">
        <v>183</v>
      </c>
      <c r="I387" s="224"/>
      <c r="J387" s="2086" t="s">
        <v>46</v>
      </c>
      <c r="K387" s="2088"/>
      <c r="L387" s="77" t="s">
        <v>175</v>
      </c>
      <c r="M387" s="78" t="s">
        <v>183</v>
      </c>
      <c r="N387" s="221"/>
      <c r="O387" s="222"/>
      <c r="P387" s="2081" t="s">
        <v>241</v>
      </c>
      <c r="Q387" s="2081"/>
      <c r="R387" s="2081"/>
      <c r="S387" s="2081"/>
      <c r="T387" s="2081"/>
      <c r="U387" s="2081"/>
      <c r="V387" s="2081"/>
      <c r="W387" s="1721">
        <f>$D$398</f>
        <v>0</v>
      </c>
      <c r="X387" s="1721"/>
      <c r="Y387" s="1721"/>
      <c r="Z387" s="1721">
        <f>$J$398</f>
        <v>0</v>
      </c>
      <c r="AA387" s="1721"/>
      <c r="AB387" s="1721"/>
      <c r="AC387" s="219"/>
      <c r="AD387" s="82"/>
      <c r="AE387" s="83"/>
      <c r="AF387" s="83"/>
      <c r="AG387" s="70"/>
      <c r="AH387" s="83"/>
      <c r="AI387" s="82"/>
    </row>
    <row r="388" spans="1:35" ht="15.5" x14ac:dyDescent="0.3">
      <c r="A388" s="66"/>
      <c r="B388" s="1600">
        <v>531111</v>
      </c>
      <c r="C388" s="1601"/>
      <c r="D388" s="2042"/>
      <c r="E388" s="2047"/>
      <c r="F388" s="2048"/>
      <c r="G388" s="1226"/>
      <c r="H388" s="1207">
        <f>D388-G388</f>
        <v>0</v>
      </c>
      <c r="I388" s="1195"/>
      <c r="J388" s="2045"/>
      <c r="K388" s="2046"/>
      <c r="L388" s="1217"/>
      <c r="M388" s="1208">
        <f t="shared" ref="M388:M397" si="34">J388-L388</f>
        <v>0</v>
      </c>
      <c r="N388" s="221"/>
      <c r="O388" s="222"/>
      <c r="P388" s="2082" t="s">
        <v>242</v>
      </c>
      <c r="Q388" s="2082"/>
      <c r="R388" s="2082"/>
      <c r="S388" s="2082"/>
      <c r="T388" s="2082"/>
      <c r="U388" s="2082"/>
      <c r="V388" s="2082"/>
      <c r="W388" s="1716">
        <f>$D$414</f>
        <v>933466500</v>
      </c>
      <c r="X388" s="1716"/>
      <c r="Y388" s="1716"/>
      <c r="Z388" s="1716">
        <f>$J$414</f>
        <v>616795500</v>
      </c>
      <c r="AA388" s="1716"/>
      <c r="AB388" s="1716"/>
      <c r="AC388" s="219"/>
      <c r="AD388" s="82"/>
      <c r="AE388" s="83"/>
      <c r="AF388" s="83"/>
      <c r="AG388" s="70"/>
      <c r="AH388" s="83"/>
      <c r="AI388" s="82"/>
    </row>
    <row r="389" spans="1:35" ht="15.5" x14ac:dyDescent="0.3">
      <c r="A389" s="66"/>
      <c r="B389" s="1600">
        <v>531112</v>
      </c>
      <c r="C389" s="1601"/>
      <c r="D389" s="2042"/>
      <c r="E389" s="2047"/>
      <c r="F389" s="2048"/>
      <c r="G389" s="1227"/>
      <c r="H389" s="1207">
        <f t="shared" ref="H389:H397" si="35">D389-G389</f>
        <v>0</v>
      </c>
      <c r="I389" s="1195"/>
      <c r="J389" s="2045"/>
      <c r="K389" s="2046"/>
      <c r="L389" s="1217"/>
      <c r="M389" s="1208">
        <f t="shared" si="34"/>
        <v>0</v>
      </c>
      <c r="N389" s="221"/>
      <c r="O389" s="222"/>
      <c r="P389" s="2082" t="s">
        <v>243</v>
      </c>
      <c r="Q389" s="2082"/>
      <c r="R389" s="2082"/>
      <c r="S389" s="2082"/>
      <c r="T389" s="2082"/>
      <c r="U389" s="2082"/>
      <c r="V389" s="2082"/>
      <c r="W389" s="1716">
        <f>$D$430</f>
        <v>536663050</v>
      </c>
      <c r="X389" s="1716"/>
      <c r="Y389" s="1716"/>
      <c r="Z389" s="1716">
        <f>$J$430</f>
        <v>740762149</v>
      </c>
      <c r="AA389" s="1716"/>
      <c r="AB389" s="1716"/>
      <c r="AC389" s="219"/>
      <c r="AD389" s="82"/>
      <c r="AE389" s="83"/>
      <c r="AF389" s="83"/>
      <c r="AG389" s="70"/>
      <c r="AH389" s="83"/>
      <c r="AI389" s="82"/>
    </row>
    <row r="390" spans="1:35" ht="15.5" x14ac:dyDescent="0.3">
      <c r="A390" s="66"/>
      <c r="B390" s="1600">
        <v>531113</v>
      </c>
      <c r="C390" s="1601"/>
      <c r="D390" s="2042"/>
      <c r="E390" s="2047"/>
      <c r="F390" s="2048"/>
      <c r="G390" s="1227"/>
      <c r="H390" s="1207">
        <f t="shared" si="35"/>
        <v>0</v>
      </c>
      <c r="I390" s="1195"/>
      <c r="J390" s="2045"/>
      <c r="K390" s="2046"/>
      <c r="L390" s="1217"/>
      <c r="M390" s="1208">
        <f t="shared" si="34"/>
        <v>0</v>
      </c>
      <c r="N390" s="221"/>
      <c r="O390" s="222"/>
      <c r="P390" s="2082" t="s">
        <v>244</v>
      </c>
      <c r="Q390" s="2082"/>
      <c r="R390" s="2082"/>
      <c r="S390" s="2082"/>
      <c r="T390" s="2082"/>
      <c r="U390" s="2082"/>
      <c r="V390" s="2082"/>
      <c r="W390" s="1716">
        <f>$D$444</f>
        <v>0</v>
      </c>
      <c r="X390" s="1716"/>
      <c r="Y390" s="1716"/>
      <c r="Z390" s="1716">
        <f>$J$444</f>
        <v>0</v>
      </c>
      <c r="AA390" s="1716"/>
      <c r="AB390" s="1716"/>
      <c r="AC390" s="219"/>
      <c r="AD390" s="82"/>
      <c r="AE390" s="83"/>
      <c r="AF390" s="83"/>
      <c r="AG390" s="70"/>
      <c r="AH390" s="83"/>
      <c r="AI390" s="82"/>
    </row>
    <row r="391" spans="1:35" ht="15.5" x14ac:dyDescent="0.3">
      <c r="A391" s="66"/>
      <c r="B391" s="1600">
        <v>531114</v>
      </c>
      <c r="C391" s="1601"/>
      <c r="D391" s="2042"/>
      <c r="E391" s="2047"/>
      <c r="F391" s="2048"/>
      <c r="G391" s="1227"/>
      <c r="H391" s="1207">
        <f t="shared" si="35"/>
        <v>0</v>
      </c>
      <c r="I391" s="1195"/>
      <c r="J391" s="2045"/>
      <c r="K391" s="2046"/>
      <c r="L391" s="1217"/>
      <c r="M391" s="1208">
        <f t="shared" si="34"/>
        <v>0</v>
      </c>
      <c r="N391" s="221"/>
      <c r="O391" s="222"/>
      <c r="P391" s="2082" t="s">
        <v>245</v>
      </c>
      <c r="Q391" s="2082"/>
      <c r="R391" s="2082"/>
      <c r="S391" s="2082"/>
      <c r="T391" s="2082"/>
      <c r="U391" s="2082"/>
      <c r="V391" s="2082"/>
      <c r="W391" s="1716">
        <f>$D$458</f>
        <v>0</v>
      </c>
      <c r="X391" s="1716"/>
      <c r="Y391" s="1716"/>
      <c r="Z391" s="1716">
        <f>$J$458</f>
        <v>0</v>
      </c>
      <c r="AA391" s="1716"/>
      <c r="AB391" s="1716"/>
      <c r="AC391" s="219"/>
      <c r="AD391" s="82"/>
      <c r="AE391" s="83"/>
      <c r="AF391" s="83"/>
      <c r="AG391" s="70"/>
      <c r="AH391" s="83"/>
      <c r="AI391" s="82"/>
    </row>
    <row r="392" spans="1:35" ht="15.5" x14ac:dyDescent="0.3">
      <c r="A392" s="66"/>
      <c r="B392" s="1600">
        <v>531115</v>
      </c>
      <c r="C392" s="1601"/>
      <c r="D392" s="2042"/>
      <c r="E392" s="2043"/>
      <c r="F392" s="2044"/>
      <c r="G392" s="1227"/>
      <c r="H392" s="1207">
        <f t="shared" si="35"/>
        <v>0</v>
      </c>
      <c r="I392" s="1195"/>
      <c r="J392" s="2045"/>
      <c r="K392" s="2046"/>
      <c r="L392" s="1217"/>
      <c r="M392" s="1208">
        <f t="shared" si="34"/>
        <v>0</v>
      </c>
      <c r="N392" s="221"/>
      <c r="O392" s="222"/>
      <c r="P392" s="2082" t="s">
        <v>246</v>
      </c>
      <c r="Q392" s="2082"/>
      <c r="R392" s="2082"/>
      <c r="S392" s="2082"/>
      <c r="T392" s="2082"/>
      <c r="U392" s="2082"/>
      <c r="V392" s="2082"/>
      <c r="W392" s="1716">
        <f>$D$472</f>
        <v>0</v>
      </c>
      <c r="X392" s="1716"/>
      <c r="Y392" s="1716"/>
      <c r="Z392" s="1716">
        <f>$J$472</f>
        <v>0</v>
      </c>
      <c r="AA392" s="1716"/>
      <c r="AB392" s="1716"/>
      <c r="AC392" s="219"/>
      <c r="AD392" s="82"/>
      <c r="AE392" s="83"/>
      <c r="AF392" s="83"/>
      <c r="AG392" s="70"/>
      <c r="AH392" s="83"/>
      <c r="AI392" s="82"/>
    </row>
    <row r="393" spans="1:35" ht="15.5" x14ac:dyDescent="0.3">
      <c r="A393" s="66"/>
      <c r="B393" s="1600">
        <v>531116</v>
      </c>
      <c r="C393" s="1601"/>
      <c r="D393" s="2042"/>
      <c r="E393" s="2043"/>
      <c r="F393" s="2044"/>
      <c r="G393" s="1227"/>
      <c r="H393" s="1207">
        <f t="shared" si="35"/>
        <v>0</v>
      </c>
      <c r="I393" s="1195"/>
      <c r="J393" s="2045"/>
      <c r="K393" s="2046"/>
      <c r="L393" s="1217"/>
      <c r="M393" s="1208">
        <f t="shared" si="34"/>
        <v>0</v>
      </c>
      <c r="N393" s="221"/>
      <c r="O393" s="222"/>
      <c r="P393" s="2082" t="s">
        <v>247</v>
      </c>
      <c r="Q393" s="2082"/>
      <c r="R393" s="2082"/>
      <c r="S393" s="2082"/>
      <c r="T393" s="2082"/>
      <c r="U393" s="2082"/>
      <c r="V393" s="2082"/>
      <c r="W393" s="1716">
        <f>$D$481</f>
        <v>0</v>
      </c>
      <c r="X393" s="1716"/>
      <c r="Y393" s="1716"/>
      <c r="Z393" s="1716">
        <f>$J$481</f>
        <v>0</v>
      </c>
      <c r="AA393" s="1716"/>
      <c r="AB393" s="1716"/>
      <c r="AC393" s="219"/>
      <c r="AD393" s="82"/>
      <c r="AE393" s="83"/>
      <c r="AF393" s="83"/>
      <c r="AG393" s="70"/>
      <c r="AH393" s="83"/>
      <c r="AI393" s="82"/>
    </row>
    <row r="394" spans="1:35" ht="15.5" x14ac:dyDescent="0.3">
      <c r="A394" s="66"/>
      <c r="B394" s="1600">
        <v>531117</v>
      </c>
      <c r="C394" s="1601"/>
      <c r="D394" s="2042"/>
      <c r="E394" s="2043"/>
      <c r="F394" s="2044"/>
      <c r="G394" s="1227"/>
      <c r="H394" s="1207">
        <f t="shared" si="35"/>
        <v>0</v>
      </c>
      <c r="I394" s="1195"/>
      <c r="J394" s="2045"/>
      <c r="K394" s="2046"/>
      <c r="L394" s="1217"/>
      <c r="M394" s="1208">
        <f t="shared" si="34"/>
        <v>0</v>
      </c>
      <c r="N394" s="221"/>
      <c r="O394" s="222"/>
      <c r="P394" s="2082" t="s">
        <v>248</v>
      </c>
      <c r="Q394" s="2082"/>
      <c r="R394" s="2082"/>
      <c r="S394" s="2082"/>
      <c r="T394" s="2082"/>
      <c r="U394" s="2082"/>
      <c r="V394" s="2082"/>
      <c r="W394" s="1716">
        <f>$D$492</f>
        <v>0</v>
      </c>
      <c r="X394" s="1716"/>
      <c r="Y394" s="1716"/>
      <c r="Z394" s="1716">
        <f>$J$492</f>
        <v>0</v>
      </c>
      <c r="AA394" s="1716"/>
      <c r="AB394" s="1716"/>
      <c r="AC394" s="219"/>
      <c r="AD394" s="82"/>
      <c r="AE394" s="83"/>
      <c r="AF394" s="83"/>
      <c r="AG394" s="70"/>
      <c r="AH394" s="83"/>
      <c r="AI394" s="82"/>
    </row>
    <row r="395" spans="1:35" ht="15.5" x14ac:dyDescent="0.3">
      <c r="A395" s="66"/>
      <c r="B395" s="1600">
        <v>531211</v>
      </c>
      <c r="C395" s="1601"/>
      <c r="D395" s="2042"/>
      <c r="E395" s="2043"/>
      <c r="F395" s="2044"/>
      <c r="G395" s="1227"/>
      <c r="H395" s="1207">
        <f t="shared" si="35"/>
        <v>0</v>
      </c>
      <c r="I395" s="1195"/>
      <c r="J395" s="2045"/>
      <c r="K395" s="2046"/>
      <c r="L395" s="1217"/>
      <c r="M395" s="1208">
        <f t="shared" si="34"/>
        <v>0</v>
      </c>
      <c r="N395" s="221"/>
      <c r="O395" s="222"/>
      <c r="P395" s="2090" t="s">
        <v>249</v>
      </c>
      <c r="Q395" s="2090"/>
      <c r="R395" s="2090"/>
      <c r="S395" s="2090"/>
      <c r="T395" s="2090"/>
      <c r="U395" s="2090"/>
      <c r="V395" s="2090"/>
      <c r="W395" s="1741">
        <f>$D$503</f>
        <v>0</v>
      </c>
      <c r="X395" s="1741"/>
      <c r="Y395" s="1741"/>
      <c r="Z395" s="1741">
        <f>$J$503</f>
        <v>0</v>
      </c>
      <c r="AA395" s="1741"/>
      <c r="AB395" s="1741"/>
      <c r="AC395" s="219"/>
      <c r="AD395" s="82"/>
      <c r="AE395" s="83"/>
      <c r="AF395" s="83"/>
      <c r="AG395" s="70"/>
      <c r="AH395" s="83"/>
      <c r="AI395" s="82"/>
    </row>
    <row r="396" spans="1:35" ht="15.5" x14ac:dyDescent="0.3">
      <c r="A396" s="66"/>
      <c r="B396" s="2089"/>
      <c r="C396" s="2044"/>
      <c r="D396" s="2042"/>
      <c r="E396" s="2047"/>
      <c r="F396" s="2048"/>
      <c r="G396" s="1227"/>
      <c r="H396" s="1207">
        <f t="shared" si="35"/>
        <v>0</v>
      </c>
      <c r="I396" s="1195"/>
      <c r="J396" s="2045"/>
      <c r="K396" s="2046"/>
      <c r="L396" s="1217"/>
      <c r="M396" s="1208">
        <f t="shared" si="34"/>
        <v>0</v>
      </c>
      <c r="N396" s="221"/>
      <c r="O396" s="221"/>
      <c r="P396" s="1737" t="s">
        <v>1108</v>
      </c>
      <c r="Q396" s="1737"/>
      <c r="R396" s="1737"/>
      <c r="S396" s="1737"/>
      <c r="T396" s="1737"/>
      <c r="U396" s="1737"/>
      <c r="V396" s="1737"/>
      <c r="W396" s="1733">
        <f>W387+W388+W389+W390+W391+W392+W393+W394+W395</f>
        <v>1470129550</v>
      </c>
      <c r="X396" s="1733"/>
      <c r="Y396" s="1733"/>
      <c r="Z396" s="1733">
        <f>Z387+Z388+Z389+Z390+Z391+Z392+Z393+Z394+Z395</f>
        <v>1357557649</v>
      </c>
      <c r="AA396" s="1733"/>
      <c r="AB396" s="1733"/>
      <c r="AC396" s="219"/>
      <c r="AD396" s="82"/>
      <c r="AE396" s="83"/>
      <c r="AF396" s="83"/>
      <c r="AG396" s="70"/>
      <c r="AH396" s="83"/>
      <c r="AI396" s="82"/>
    </row>
    <row r="397" spans="1:35" ht="16" thickBot="1" x14ac:dyDescent="0.35">
      <c r="A397" s="66"/>
      <c r="B397" s="2083"/>
      <c r="C397" s="2084"/>
      <c r="D397" s="2042"/>
      <c r="E397" s="2047"/>
      <c r="F397" s="2048"/>
      <c r="G397" s="1227"/>
      <c r="H397" s="1207">
        <f t="shared" si="35"/>
        <v>0</v>
      </c>
      <c r="I397" s="1195"/>
      <c r="J397" s="2045"/>
      <c r="K397" s="2046"/>
      <c r="L397" s="1217"/>
      <c r="M397" s="1208">
        <f t="shared" si="34"/>
        <v>0</v>
      </c>
      <c r="N397" s="221"/>
      <c r="O397" s="221"/>
      <c r="P397" s="1737" t="s">
        <v>118</v>
      </c>
      <c r="Q397" s="1737"/>
      <c r="R397" s="1737"/>
      <c r="S397" s="1737"/>
      <c r="T397" s="1737"/>
      <c r="U397" s="1737"/>
      <c r="V397" s="1737"/>
      <c r="W397" s="1733">
        <f>G398+G414+G430+G444+G458+G472+G492+G503</f>
        <v>0</v>
      </c>
      <c r="X397" s="1733"/>
      <c r="Y397" s="1733"/>
      <c r="Z397" s="1733">
        <f>$L$398+$L$414+$L$430+$L$444+$L$458+$L$472+$L$492+$L$503</f>
        <v>0</v>
      </c>
      <c r="AA397" s="1733"/>
      <c r="AB397" s="1733"/>
      <c r="AC397" s="219"/>
      <c r="AD397" s="82"/>
      <c r="AE397" s="83"/>
      <c r="AF397" s="83"/>
      <c r="AG397" s="70"/>
      <c r="AH397" s="83"/>
      <c r="AI397" s="82"/>
    </row>
    <row r="398" spans="1:35" ht="16.5" thickTop="1" thickBot="1" x14ac:dyDescent="0.35">
      <c r="A398" s="66"/>
      <c r="B398" s="1209" t="s">
        <v>116</v>
      </c>
      <c r="C398" s="1210"/>
      <c r="D398" s="2091">
        <f>SUM(D388:F397)</f>
        <v>0</v>
      </c>
      <c r="E398" s="2092"/>
      <c r="F398" s="2093"/>
      <c r="G398" s="1211">
        <f>SUM(G388:G397)</f>
        <v>0</v>
      </c>
      <c r="H398" s="1212">
        <f>SUM(H388:H397)</f>
        <v>0</v>
      </c>
      <c r="I398" s="1187"/>
      <c r="J398" s="2094">
        <f>SUM(J388:K397)</f>
        <v>0</v>
      </c>
      <c r="K398" s="2095"/>
      <c r="L398" s="1213">
        <f>SUM(L388:L397)</f>
        <v>0</v>
      </c>
      <c r="M398" s="1213">
        <f>SUM(M388:M397)</f>
        <v>0</v>
      </c>
      <c r="N398" s="221"/>
      <c r="O398" s="221"/>
      <c r="P398" s="1732" t="s">
        <v>1109</v>
      </c>
      <c r="Q398" s="1732"/>
      <c r="R398" s="1732"/>
      <c r="S398" s="1732"/>
      <c r="T398" s="1732"/>
      <c r="U398" s="1732"/>
      <c r="V398" s="1732"/>
      <c r="W398" s="1715">
        <f>W396-W397</f>
        <v>1470129550</v>
      </c>
      <c r="X398" s="1715"/>
      <c r="Y398" s="1715"/>
      <c r="Z398" s="1715">
        <f>Z396-Z397</f>
        <v>1357557649</v>
      </c>
      <c r="AA398" s="1715"/>
      <c r="AB398" s="1715"/>
      <c r="AC398" s="219"/>
      <c r="AD398" s="82"/>
      <c r="AE398" s="83"/>
      <c r="AF398" s="83"/>
      <c r="AG398" s="70"/>
      <c r="AH398" s="83"/>
      <c r="AI398" s="82"/>
    </row>
    <row r="399" spans="1:35" ht="16.5" thickTop="1" thickBot="1" x14ac:dyDescent="0.4">
      <c r="A399" s="66"/>
      <c r="B399" s="1671" t="str">
        <f>$B$69</f>
        <v>31 Desember 2019</v>
      </c>
      <c r="C399" s="1671"/>
      <c r="D399" s="1671"/>
      <c r="E399" s="1671"/>
      <c r="F399" s="1671"/>
      <c r="G399" s="1671"/>
      <c r="H399" s="1671"/>
      <c r="I399" s="230"/>
      <c r="J399" s="1672" t="str">
        <f>$J$69</f>
        <v>31 Desember 2018</v>
      </c>
      <c r="K399" s="1671"/>
      <c r="L399" s="1671"/>
      <c r="M399" s="1671"/>
      <c r="N399" s="221"/>
      <c r="O399" s="221"/>
      <c r="P399" s="221"/>
      <c r="Q399" s="221"/>
      <c r="R399" s="221"/>
      <c r="S399" s="221"/>
      <c r="T399" s="221"/>
      <c r="U399" s="221"/>
      <c r="V399" s="221"/>
      <c r="W399" s="221"/>
      <c r="X399" s="221"/>
      <c r="Y399" s="221"/>
      <c r="Z399" s="221"/>
      <c r="AA399" s="221"/>
      <c r="AB399" s="221"/>
      <c r="AC399" s="221"/>
      <c r="AD399" s="82"/>
      <c r="AE399" s="83"/>
      <c r="AF399" s="83"/>
      <c r="AG399" s="70"/>
      <c r="AH399" s="83"/>
      <c r="AI399" s="82"/>
    </row>
    <row r="400" spans="1:35" ht="20.5" thickTop="1" x14ac:dyDescent="0.3">
      <c r="A400" s="66"/>
      <c r="B400" s="1668" t="s">
        <v>242</v>
      </c>
      <c r="C400" s="1669"/>
      <c r="D400" s="1669"/>
      <c r="E400" s="1669"/>
      <c r="F400" s="1669"/>
      <c r="G400" s="1669"/>
      <c r="H400" s="1669"/>
      <c r="I400" s="1669"/>
      <c r="J400" s="1669"/>
      <c r="K400" s="1669"/>
      <c r="L400" s="1669"/>
      <c r="M400" s="1670"/>
      <c r="N400" s="221"/>
      <c r="O400" s="221"/>
      <c r="P400" s="221"/>
      <c r="Q400" s="221"/>
      <c r="R400" s="221"/>
      <c r="S400" s="221"/>
      <c r="T400" s="221"/>
      <c r="U400" s="221"/>
      <c r="V400" s="221"/>
      <c r="W400" s="221"/>
      <c r="X400" s="221"/>
      <c r="Y400" s="221"/>
      <c r="Z400" s="221"/>
      <c r="AA400" s="221"/>
      <c r="AB400" s="221"/>
      <c r="AC400" s="221"/>
      <c r="AD400" s="82"/>
      <c r="AE400" s="83"/>
      <c r="AF400" s="83"/>
      <c r="AG400" s="70"/>
      <c r="AH400" s="83"/>
      <c r="AI400" s="82"/>
    </row>
    <row r="401" spans="1:35" ht="15.5" x14ac:dyDescent="0.3">
      <c r="A401" s="66"/>
      <c r="B401" s="1710"/>
      <c r="C401" s="1601"/>
      <c r="D401" s="1584" t="s">
        <v>46</v>
      </c>
      <c r="E401" s="1713"/>
      <c r="F401" s="1585"/>
      <c r="G401" s="1189" t="s">
        <v>175</v>
      </c>
      <c r="H401" s="1190" t="s">
        <v>183</v>
      </c>
      <c r="I401" s="1216"/>
      <c r="J401" s="1584" t="s">
        <v>46</v>
      </c>
      <c r="K401" s="1585"/>
      <c r="L401" s="1189" t="s">
        <v>175</v>
      </c>
      <c r="M401" s="1192" t="s">
        <v>183</v>
      </c>
      <c r="N401" s="221"/>
      <c r="O401" s="221"/>
      <c r="P401" s="221"/>
      <c r="Q401" s="221"/>
      <c r="R401" s="221"/>
      <c r="S401" s="221"/>
      <c r="T401" s="221"/>
      <c r="U401" s="221"/>
      <c r="V401" s="221"/>
      <c r="W401" s="221"/>
      <c r="X401" s="221"/>
      <c r="Y401" s="221"/>
      <c r="Z401" s="221"/>
      <c r="AA401" s="221"/>
      <c r="AB401" s="221"/>
      <c r="AC401" s="221"/>
      <c r="AD401" s="82"/>
      <c r="AE401" s="83"/>
      <c r="AF401" s="83"/>
      <c r="AG401" s="70"/>
      <c r="AH401" s="83"/>
      <c r="AI401" s="82"/>
    </row>
    <row r="402" spans="1:35" ht="15.5" x14ac:dyDescent="0.3">
      <c r="A402" s="66"/>
      <c r="B402" s="1600">
        <v>532111</v>
      </c>
      <c r="C402" s="1601"/>
      <c r="D402" s="1586">
        <v>933466500</v>
      </c>
      <c r="E402" s="1587"/>
      <c r="F402" s="1588"/>
      <c r="G402" s="1202"/>
      <c r="H402" s="1194">
        <f>D402-G402</f>
        <v>933466500</v>
      </c>
      <c r="I402" s="1195"/>
      <c r="J402" s="1659">
        <v>616795500</v>
      </c>
      <c r="K402" s="1660"/>
      <c r="L402" s="1196"/>
      <c r="M402" s="1197">
        <f t="shared" ref="M402:M413" si="36">J402-L402</f>
        <v>616795500</v>
      </c>
      <c r="N402" s="221"/>
      <c r="O402" s="221"/>
      <c r="P402" s="221"/>
      <c r="Q402" s="221"/>
      <c r="R402" s="221"/>
      <c r="S402" s="221"/>
      <c r="T402" s="221"/>
      <c r="U402" s="221"/>
      <c r="V402" s="221"/>
      <c r="W402" s="221"/>
      <c r="X402" s="221"/>
      <c r="Y402" s="221"/>
      <c r="Z402" s="221"/>
      <c r="AA402" s="221"/>
      <c r="AB402" s="221"/>
      <c r="AC402" s="221"/>
      <c r="AD402" s="82"/>
      <c r="AE402" s="83"/>
      <c r="AF402" s="83"/>
      <c r="AG402" s="70"/>
      <c r="AH402" s="83"/>
      <c r="AI402" s="82"/>
    </row>
    <row r="403" spans="1:35" ht="15.5" x14ac:dyDescent="0.3">
      <c r="A403" s="66"/>
      <c r="B403" s="1600">
        <v>532112</v>
      </c>
      <c r="C403" s="1601"/>
      <c r="D403" s="1586"/>
      <c r="E403" s="1587"/>
      <c r="F403" s="1588"/>
      <c r="G403" s="1206"/>
      <c r="H403" s="1194">
        <f t="shared" ref="H403:H413" si="37">D403-G403</f>
        <v>0</v>
      </c>
      <c r="I403" s="1195"/>
      <c r="J403" s="1659"/>
      <c r="K403" s="1660"/>
      <c r="L403" s="1196"/>
      <c r="M403" s="1197">
        <f t="shared" si="36"/>
        <v>0</v>
      </c>
      <c r="N403" s="221"/>
      <c r="O403" s="221"/>
      <c r="P403" s="221"/>
      <c r="Q403" s="221"/>
      <c r="R403" s="221"/>
      <c r="S403" s="221"/>
      <c r="T403" s="221"/>
      <c r="U403" s="221"/>
      <c r="V403" s="221"/>
      <c r="W403" s="221"/>
      <c r="X403" s="221"/>
      <c r="Y403" s="221"/>
      <c r="Z403" s="221"/>
      <c r="AA403" s="221"/>
      <c r="AB403" s="221"/>
      <c r="AC403" s="221"/>
      <c r="AD403" s="82"/>
      <c r="AE403" s="83"/>
      <c r="AF403" s="83"/>
      <c r="AG403" s="70"/>
      <c r="AH403" s="83"/>
      <c r="AI403" s="82"/>
    </row>
    <row r="404" spans="1:35" ht="15.5" x14ac:dyDescent="0.3">
      <c r="A404" s="66"/>
      <c r="B404" s="1600">
        <v>532113</v>
      </c>
      <c r="C404" s="1601"/>
      <c r="D404" s="1586"/>
      <c r="E404" s="1587"/>
      <c r="F404" s="1588"/>
      <c r="G404" s="1206"/>
      <c r="H404" s="1194">
        <f t="shared" si="37"/>
        <v>0</v>
      </c>
      <c r="I404" s="1195"/>
      <c r="J404" s="1659"/>
      <c r="K404" s="1660"/>
      <c r="L404" s="1196"/>
      <c r="M404" s="1197">
        <f t="shared" si="36"/>
        <v>0</v>
      </c>
      <c r="N404" s="221"/>
      <c r="O404" s="221"/>
      <c r="P404" s="221"/>
      <c r="Q404" s="221"/>
      <c r="R404" s="221"/>
      <c r="S404" s="221"/>
      <c r="T404" s="221"/>
      <c r="U404" s="221"/>
      <c r="V404" s="221"/>
      <c r="W404" s="221"/>
      <c r="X404" s="221"/>
      <c r="Y404" s="221"/>
      <c r="Z404" s="221"/>
      <c r="AA404" s="221"/>
      <c r="AB404" s="221"/>
      <c r="AC404" s="221"/>
      <c r="AD404" s="82"/>
      <c r="AE404" s="83"/>
      <c r="AF404" s="83"/>
      <c r="AG404" s="70"/>
      <c r="AH404" s="83"/>
      <c r="AI404" s="82"/>
    </row>
    <row r="405" spans="1:35" ht="15.5" x14ac:dyDescent="0.3">
      <c r="A405" s="66"/>
      <c r="B405" s="1600">
        <v>532114</v>
      </c>
      <c r="C405" s="1601"/>
      <c r="D405" s="1586"/>
      <c r="E405" s="1587"/>
      <c r="F405" s="1588"/>
      <c r="G405" s="1206"/>
      <c r="H405" s="1194">
        <f t="shared" si="37"/>
        <v>0</v>
      </c>
      <c r="I405" s="1195"/>
      <c r="J405" s="1659"/>
      <c r="K405" s="1660"/>
      <c r="L405" s="1196"/>
      <c r="M405" s="1197">
        <f t="shared" si="36"/>
        <v>0</v>
      </c>
      <c r="N405" s="221"/>
      <c r="O405" s="221"/>
      <c r="P405" s="221"/>
      <c r="Q405" s="221"/>
      <c r="R405" s="221"/>
      <c r="S405" s="221"/>
      <c r="T405" s="221"/>
      <c r="U405" s="221"/>
      <c r="V405" s="221"/>
      <c r="W405" s="221"/>
      <c r="X405" s="221"/>
      <c r="Y405" s="221"/>
      <c r="Z405" s="221"/>
      <c r="AA405" s="221"/>
      <c r="AB405" s="221"/>
      <c r="AC405" s="221"/>
      <c r="AD405" s="82"/>
      <c r="AE405" s="83"/>
      <c r="AF405" s="83"/>
      <c r="AG405" s="70"/>
      <c r="AH405" s="83"/>
      <c r="AI405" s="82"/>
    </row>
    <row r="406" spans="1:35" ht="15.5" x14ac:dyDescent="0.3">
      <c r="A406" s="66"/>
      <c r="B406" s="1600">
        <v>532115</v>
      </c>
      <c r="C406" s="1601"/>
      <c r="D406" s="1586"/>
      <c r="E406" s="1648"/>
      <c r="F406" s="1649"/>
      <c r="G406" s="1206"/>
      <c r="H406" s="1194">
        <f t="shared" si="37"/>
        <v>0</v>
      </c>
      <c r="I406" s="1195"/>
      <c r="J406" s="1659"/>
      <c r="K406" s="1660"/>
      <c r="L406" s="1196"/>
      <c r="M406" s="1197">
        <f t="shared" si="36"/>
        <v>0</v>
      </c>
      <c r="N406" s="221"/>
      <c r="O406" s="221"/>
      <c r="P406" s="221"/>
      <c r="Q406" s="221"/>
      <c r="R406" s="221"/>
      <c r="S406" s="221"/>
      <c r="T406" s="221"/>
      <c r="U406" s="221"/>
      <c r="V406" s="221"/>
      <c r="W406" s="221"/>
      <c r="X406" s="221"/>
      <c r="Y406" s="221"/>
      <c r="Z406" s="221"/>
      <c r="AA406" s="221"/>
      <c r="AB406" s="221"/>
      <c r="AC406" s="221"/>
      <c r="AD406" s="82"/>
      <c r="AE406" s="83"/>
      <c r="AF406" s="83"/>
      <c r="AG406" s="70"/>
      <c r="AH406" s="83"/>
      <c r="AI406" s="82"/>
    </row>
    <row r="407" spans="1:35" ht="15.5" x14ac:dyDescent="0.3">
      <c r="A407" s="66"/>
      <c r="B407" s="1600">
        <v>532116</v>
      </c>
      <c r="C407" s="1601"/>
      <c r="D407" s="1586"/>
      <c r="E407" s="1648"/>
      <c r="F407" s="1649"/>
      <c r="G407" s="1206"/>
      <c r="H407" s="1194">
        <f t="shared" si="37"/>
        <v>0</v>
      </c>
      <c r="I407" s="1195"/>
      <c r="J407" s="1659"/>
      <c r="K407" s="1660"/>
      <c r="L407" s="1196"/>
      <c r="M407" s="1197">
        <f t="shared" si="36"/>
        <v>0</v>
      </c>
      <c r="N407" s="221"/>
      <c r="O407" s="221"/>
      <c r="P407" s="221"/>
      <c r="Q407" s="221"/>
      <c r="R407" s="221"/>
      <c r="S407" s="221"/>
      <c r="T407" s="221"/>
      <c r="U407" s="221"/>
      <c r="V407" s="221"/>
      <c r="W407" s="221"/>
      <c r="X407" s="221"/>
      <c r="Y407" s="221"/>
      <c r="Z407" s="221"/>
      <c r="AA407" s="221"/>
      <c r="AB407" s="221"/>
      <c r="AC407" s="221"/>
      <c r="AD407" s="82"/>
      <c r="AE407" s="83"/>
      <c r="AF407" s="83"/>
      <c r="AG407" s="70"/>
      <c r="AH407" s="83"/>
      <c r="AI407" s="82"/>
    </row>
    <row r="408" spans="1:35" ht="15.5" x14ac:dyDescent="0.3">
      <c r="A408" s="66"/>
      <c r="B408" s="1600">
        <v>532117</v>
      </c>
      <c r="C408" s="1601"/>
      <c r="D408" s="1586"/>
      <c r="E408" s="1648"/>
      <c r="F408" s="1649"/>
      <c r="G408" s="1206"/>
      <c r="H408" s="1194">
        <f t="shared" si="37"/>
        <v>0</v>
      </c>
      <c r="I408" s="1195"/>
      <c r="J408" s="1659"/>
      <c r="K408" s="1660"/>
      <c r="L408" s="1196"/>
      <c r="M408" s="1197">
        <f t="shared" si="36"/>
        <v>0</v>
      </c>
      <c r="N408" s="221"/>
      <c r="O408" s="221"/>
      <c r="P408" s="221"/>
      <c r="Q408" s="221"/>
      <c r="R408" s="221"/>
      <c r="S408" s="221"/>
      <c r="T408" s="221"/>
      <c r="U408" s="221"/>
      <c r="V408" s="221"/>
      <c r="W408" s="221"/>
      <c r="X408" s="221"/>
      <c r="Y408" s="221"/>
      <c r="Z408" s="221"/>
      <c r="AA408" s="221"/>
      <c r="AB408" s="221"/>
      <c r="AC408" s="221"/>
      <c r="AD408" s="82"/>
      <c r="AE408" s="83"/>
      <c r="AF408" s="83"/>
      <c r="AG408" s="70"/>
      <c r="AH408" s="83"/>
      <c r="AI408" s="82"/>
    </row>
    <row r="409" spans="1:35" ht="15.5" x14ac:dyDescent="0.3">
      <c r="A409" s="66"/>
      <c r="B409" s="1600">
        <v>532118</v>
      </c>
      <c r="C409" s="1601"/>
      <c r="D409" s="1586"/>
      <c r="E409" s="1648"/>
      <c r="F409" s="1649"/>
      <c r="G409" s="1206"/>
      <c r="H409" s="1194">
        <f t="shared" si="37"/>
        <v>0</v>
      </c>
      <c r="I409" s="1195"/>
      <c r="J409" s="1659"/>
      <c r="K409" s="1660"/>
      <c r="L409" s="1196"/>
      <c r="M409" s="1197">
        <f t="shared" si="36"/>
        <v>0</v>
      </c>
      <c r="N409" s="221"/>
      <c r="O409" s="221"/>
      <c r="P409" s="221"/>
      <c r="Q409" s="221"/>
      <c r="R409" s="221"/>
      <c r="S409" s="221"/>
      <c r="T409" s="221"/>
      <c r="U409" s="221"/>
      <c r="V409" s="221"/>
      <c r="W409" s="221"/>
      <c r="X409" s="221"/>
      <c r="Y409" s="221"/>
      <c r="Z409" s="221"/>
      <c r="AA409" s="221"/>
      <c r="AB409" s="221"/>
      <c r="AC409" s="221"/>
      <c r="AD409" s="82"/>
      <c r="AE409" s="83"/>
      <c r="AF409" s="83"/>
      <c r="AG409" s="70"/>
      <c r="AH409" s="83"/>
      <c r="AI409" s="82"/>
    </row>
    <row r="410" spans="1:35" ht="15.5" x14ac:dyDescent="0.3">
      <c r="A410" s="66"/>
      <c r="B410" s="1600">
        <v>532121</v>
      </c>
      <c r="C410" s="1601"/>
      <c r="D410" s="1586"/>
      <c r="E410" s="1648"/>
      <c r="F410" s="1649"/>
      <c r="G410" s="1206"/>
      <c r="H410" s="1194">
        <f>D410-G410</f>
        <v>0</v>
      </c>
      <c r="I410" s="1195"/>
      <c r="J410" s="1659"/>
      <c r="K410" s="1660"/>
      <c r="L410" s="1196"/>
      <c r="M410" s="1197">
        <f>J410-L410</f>
        <v>0</v>
      </c>
      <c r="N410" s="221"/>
      <c r="O410" s="221"/>
      <c r="P410" s="221"/>
      <c r="Q410" s="221"/>
      <c r="R410" s="221"/>
      <c r="S410" s="221"/>
      <c r="T410" s="221"/>
      <c r="U410" s="221"/>
      <c r="V410" s="221"/>
      <c r="W410" s="221"/>
      <c r="X410" s="221"/>
      <c r="Y410" s="221"/>
      <c r="Z410" s="221"/>
      <c r="AA410" s="221"/>
      <c r="AB410" s="221"/>
      <c r="AC410" s="221"/>
      <c r="AD410" s="82"/>
      <c r="AE410" s="83"/>
      <c r="AF410" s="83"/>
      <c r="AG410" s="70"/>
      <c r="AH410" s="83"/>
      <c r="AI410" s="82"/>
    </row>
    <row r="411" spans="1:35" ht="15.5" x14ac:dyDescent="0.3">
      <c r="A411" s="66"/>
      <c r="B411" s="1600">
        <v>532211</v>
      </c>
      <c r="C411" s="1601"/>
      <c r="D411" s="1586"/>
      <c r="E411" s="1648"/>
      <c r="F411" s="1649"/>
      <c r="G411" s="1206"/>
      <c r="H411" s="1194">
        <f t="shared" si="37"/>
        <v>0</v>
      </c>
      <c r="I411" s="1195"/>
      <c r="J411" s="1659"/>
      <c r="K411" s="1660"/>
      <c r="L411" s="1196"/>
      <c r="M411" s="1197">
        <f t="shared" si="36"/>
        <v>0</v>
      </c>
      <c r="N411" s="221"/>
      <c r="O411" s="221"/>
      <c r="P411" s="221"/>
      <c r="Q411" s="221"/>
      <c r="R411" s="221"/>
      <c r="S411" s="221"/>
      <c r="T411" s="221"/>
      <c r="U411" s="221"/>
      <c r="V411" s="221"/>
      <c r="W411" s="221"/>
      <c r="X411" s="221"/>
      <c r="Y411" s="221"/>
      <c r="Z411" s="221"/>
      <c r="AA411" s="221"/>
      <c r="AB411" s="221"/>
      <c r="AC411" s="221"/>
      <c r="AD411" s="82"/>
      <c r="AE411" s="83"/>
      <c r="AF411" s="83"/>
      <c r="AG411" s="70"/>
      <c r="AH411" s="83"/>
      <c r="AI411" s="82"/>
    </row>
    <row r="412" spans="1:35" ht="15.5" x14ac:dyDescent="0.3">
      <c r="A412" s="66"/>
      <c r="B412" s="1673"/>
      <c r="C412" s="1674"/>
      <c r="D412" s="1586"/>
      <c r="E412" s="1587"/>
      <c r="F412" s="1588"/>
      <c r="G412" s="1206"/>
      <c r="H412" s="1194">
        <f t="shared" si="37"/>
        <v>0</v>
      </c>
      <c r="I412" s="1195"/>
      <c r="J412" s="1659"/>
      <c r="K412" s="1660"/>
      <c r="L412" s="1196"/>
      <c r="M412" s="1197">
        <f t="shared" si="36"/>
        <v>0</v>
      </c>
      <c r="N412" s="221"/>
      <c r="O412" s="221"/>
      <c r="P412" s="221"/>
      <c r="Q412" s="221"/>
      <c r="R412" s="221"/>
      <c r="S412" s="221"/>
      <c r="T412" s="221"/>
      <c r="U412" s="221"/>
      <c r="V412" s="221"/>
      <c r="W412" s="221"/>
      <c r="X412" s="221"/>
      <c r="Y412" s="221"/>
      <c r="Z412" s="221"/>
      <c r="AA412" s="221"/>
      <c r="AB412" s="221"/>
      <c r="AC412" s="221"/>
      <c r="AD412" s="82"/>
      <c r="AE412" s="83"/>
      <c r="AF412" s="83"/>
      <c r="AG412" s="70"/>
      <c r="AH412" s="83"/>
      <c r="AI412" s="82"/>
    </row>
    <row r="413" spans="1:35" ht="16" thickBot="1" x14ac:dyDescent="0.35">
      <c r="A413" s="66"/>
      <c r="B413" s="1664"/>
      <c r="C413" s="1665"/>
      <c r="D413" s="1586"/>
      <c r="E413" s="1587"/>
      <c r="F413" s="1588"/>
      <c r="G413" s="1206"/>
      <c r="H413" s="1194">
        <f t="shared" si="37"/>
        <v>0</v>
      </c>
      <c r="I413" s="1195"/>
      <c r="J413" s="1659"/>
      <c r="K413" s="1660"/>
      <c r="L413" s="1196"/>
      <c r="M413" s="1197">
        <f t="shared" si="36"/>
        <v>0</v>
      </c>
      <c r="N413" s="221"/>
      <c r="O413" s="221"/>
      <c r="P413" s="221"/>
      <c r="Q413" s="221"/>
      <c r="R413" s="221"/>
      <c r="S413" s="221"/>
      <c r="T413" s="221"/>
      <c r="U413" s="221"/>
      <c r="V413" s="221"/>
      <c r="W413" s="221"/>
      <c r="X413" s="221"/>
      <c r="Y413" s="221"/>
      <c r="Z413" s="221"/>
      <c r="AA413" s="221"/>
      <c r="AB413" s="221"/>
      <c r="AC413" s="221"/>
      <c r="AD413" s="82"/>
      <c r="AE413" s="83"/>
      <c r="AF413" s="83"/>
      <c r="AG413" s="70"/>
      <c r="AH413" s="83"/>
      <c r="AI413" s="82"/>
    </row>
    <row r="414" spans="1:35" ht="16.5" thickTop="1" thickBot="1" x14ac:dyDescent="0.35">
      <c r="A414" s="66"/>
      <c r="B414" s="1214" t="s">
        <v>116</v>
      </c>
      <c r="C414" s="1215"/>
      <c r="D414" s="1591">
        <f>SUM(D402:F413)</f>
        <v>933466500</v>
      </c>
      <c r="E414" s="1592"/>
      <c r="F414" s="1593"/>
      <c r="G414" s="1185">
        <f>SUM(G402:G413)</f>
        <v>0</v>
      </c>
      <c r="H414" s="1186">
        <f>SUM(H402:H413)</f>
        <v>933466500</v>
      </c>
      <c r="I414" s="1187"/>
      <c r="J414" s="1666">
        <f>SUM(J402:K413)</f>
        <v>616795500</v>
      </c>
      <c r="K414" s="1667"/>
      <c r="L414" s="1188">
        <f>SUM(L402:L413)</f>
        <v>0</v>
      </c>
      <c r="M414" s="1188">
        <f>SUM(M402:M413)</f>
        <v>616795500</v>
      </c>
      <c r="N414" s="221"/>
      <c r="O414" s="221"/>
      <c r="P414" s="221"/>
      <c r="Q414" s="221"/>
      <c r="R414" s="221"/>
      <c r="S414" s="221"/>
      <c r="T414" s="221"/>
      <c r="U414" s="221"/>
      <c r="V414" s="221"/>
      <c r="W414" s="221"/>
      <c r="X414" s="221"/>
      <c r="Y414" s="221"/>
      <c r="Z414" s="221"/>
      <c r="AA414" s="221"/>
      <c r="AB414" s="221"/>
      <c r="AC414" s="221"/>
      <c r="AD414" s="82"/>
      <c r="AE414" s="83"/>
      <c r="AF414" s="83"/>
      <c r="AG414" s="70"/>
      <c r="AH414" s="83"/>
      <c r="AI414" s="82"/>
    </row>
    <row r="415" spans="1:35" ht="16.5" thickTop="1" thickBot="1" x14ac:dyDescent="0.4">
      <c r="A415" s="66"/>
      <c r="B415" s="1671" t="str">
        <f>$B$69</f>
        <v>31 Desember 2019</v>
      </c>
      <c r="C415" s="1671"/>
      <c r="D415" s="1671"/>
      <c r="E415" s="1671"/>
      <c r="F415" s="1671"/>
      <c r="G415" s="1671"/>
      <c r="H415" s="1671"/>
      <c r="I415" s="230"/>
      <c r="J415" s="1672" t="str">
        <f>$J$69</f>
        <v>31 Desember 2018</v>
      </c>
      <c r="K415" s="1671"/>
      <c r="L415" s="1671"/>
      <c r="M415" s="1671"/>
      <c r="N415" s="221"/>
      <c r="O415" s="221"/>
      <c r="P415" s="221"/>
      <c r="Q415" s="221"/>
      <c r="R415" s="221"/>
      <c r="S415" s="221"/>
      <c r="T415" s="221"/>
      <c r="U415" s="221"/>
      <c r="V415" s="221"/>
      <c r="W415" s="221"/>
      <c r="X415" s="221"/>
      <c r="Y415" s="221"/>
      <c r="Z415" s="221"/>
      <c r="AA415" s="221"/>
      <c r="AB415" s="221"/>
      <c r="AC415" s="221"/>
      <c r="AD415" s="82"/>
      <c r="AE415" s="83"/>
      <c r="AF415" s="83"/>
      <c r="AG415" s="70"/>
      <c r="AH415" s="83"/>
      <c r="AI415" s="82"/>
    </row>
    <row r="416" spans="1:35" ht="20.5" thickTop="1" x14ac:dyDescent="0.3">
      <c r="A416" s="66"/>
      <c r="B416" s="1668" t="s">
        <v>243</v>
      </c>
      <c r="C416" s="1669"/>
      <c r="D416" s="1669"/>
      <c r="E416" s="1669"/>
      <c r="F416" s="1669"/>
      <c r="G416" s="1669"/>
      <c r="H416" s="1669"/>
      <c r="I416" s="1669"/>
      <c r="J416" s="1669"/>
      <c r="K416" s="1669"/>
      <c r="L416" s="1669"/>
      <c r="M416" s="1670"/>
      <c r="N416" s="221"/>
      <c r="O416" s="221"/>
      <c r="P416" s="221"/>
      <c r="Q416" s="221"/>
      <c r="R416" s="221"/>
      <c r="S416" s="221"/>
      <c r="T416" s="221"/>
      <c r="U416" s="221"/>
      <c r="V416" s="221"/>
      <c r="W416" s="221"/>
      <c r="X416" s="221"/>
      <c r="Y416" s="221"/>
      <c r="Z416" s="221"/>
      <c r="AA416" s="221"/>
      <c r="AB416" s="221"/>
      <c r="AC416" s="221"/>
      <c r="AD416" s="82"/>
      <c r="AE416" s="83"/>
      <c r="AF416" s="83"/>
      <c r="AG416" s="70"/>
      <c r="AH416" s="83"/>
      <c r="AI416" s="82"/>
    </row>
    <row r="417" spans="1:35" ht="15.5" x14ac:dyDescent="0.3">
      <c r="A417" s="66"/>
      <c r="B417" s="1710"/>
      <c r="C417" s="1601"/>
      <c r="D417" s="1584" t="s">
        <v>46</v>
      </c>
      <c r="E417" s="1713"/>
      <c r="F417" s="1585"/>
      <c r="G417" s="1189" t="s">
        <v>175</v>
      </c>
      <c r="H417" s="1190" t="s">
        <v>183</v>
      </c>
      <c r="I417" s="1216"/>
      <c r="J417" s="1584" t="s">
        <v>46</v>
      </c>
      <c r="K417" s="1585"/>
      <c r="L417" s="1189" t="s">
        <v>175</v>
      </c>
      <c r="M417" s="1192" t="s">
        <v>183</v>
      </c>
      <c r="N417" s="221"/>
      <c r="O417" s="221"/>
      <c r="P417" s="221"/>
      <c r="Q417" s="221"/>
      <c r="R417" s="221"/>
      <c r="S417" s="221"/>
      <c r="T417" s="221"/>
      <c r="U417" s="221"/>
      <c r="V417" s="221"/>
      <c r="W417" s="221"/>
      <c r="X417" s="221"/>
      <c r="Y417" s="221"/>
      <c r="Z417" s="221"/>
      <c r="AA417" s="221"/>
      <c r="AB417" s="221"/>
      <c r="AC417" s="221"/>
      <c r="AD417" s="82"/>
      <c r="AE417" s="83"/>
      <c r="AF417" s="83"/>
      <c r="AG417" s="70"/>
      <c r="AH417" s="83"/>
      <c r="AI417" s="82"/>
    </row>
    <row r="418" spans="1:35" ht="15.5" x14ac:dyDescent="0.3">
      <c r="A418" s="66"/>
      <c r="B418" s="1600">
        <v>533111</v>
      </c>
      <c r="C418" s="1601"/>
      <c r="D418" s="1586">
        <v>536663050</v>
      </c>
      <c r="E418" s="1587"/>
      <c r="F418" s="1588"/>
      <c r="G418" s="1202"/>
      <c r="H418" s="1194">
        <f>D418-G418</f>
        <v>536663050</v>
      </c>
      <c r="I418" s="1195"/>
      <c r="J418" s="1659"/>
      <c r="K418" s="1660"/>
      <c r="L418" s="1196"/>
      <c r="M418" s="1197">
        <f t="shared" ref="M418:M429" si="38">J418-L418</f>
        <v>0</v>
      </c>
      <c r="N418" s="221"/>
      <c r="O418" s="221"/>
      <c r="P418" s="221"/>
      <c r="Q418" s="221"/>
      <c r="R418" s="221"/>
      <c r="S418" s="221"/>
      <c r="T418" s="221"/>
      <c r="U418" s="221"/>
      <c r="V418" s="221"/>
      <c r="W418" s="221"/>
      <c r="X418" s="221"/>
      <c r="Y418" s="221"/>
      <c r="Z418" s="221"/>
      <c r="AA418" s="221"/>
      <c r="AB418" s="221"/>
      <c r="AC418" s="221"/>
      <c r="AD418" s="82"/>
      <c r="AE418" s="83"/>
      <c r="AF418" s="83"/>
      <c r="AG418" s="70"/>
      <c r="AH418" s="83"/>
      <c r="AI418" s="82"/>
    </row>
    <row r="419" spans="1:35" ht="15.5" x14ac:dyDescent="0.3">
      <c r="A419" s="66"/>
      <c r="B419" s="1600">
        <v>533112</v>
      </c>
      <c r="C419" s="1601"/>
      <c r="D419" s="1586"/>
      <c r="E419" s="1587"/>
      <c r="F419" s="1588"/>
      <c r="G419" s="1206"/>
      <c r="H419" s="1194">
        <f t="shared" ref="H419:H429" si="39">D419-G419</f>
        <v>0</v>
      </c>
      <c r="I419" s="1195"/>
      <c r="J419" s="1659"/>
      <c r="K419" s="1660"/>
      <c r="L419" s="1196"/>
      <c r="M419" s="1197">
        <f t="shared" si="38"/>
        <v>0</v>
      </c>
      <c r="N419" s="221"/>
      <c r="O419" s="221"/>
      <c r="P419" s="221"/>
      <c r="Q419" s="221"/>
      <c r="R419" s="221"/>
      <c r="S419" s="221"/>
      <c r="T419" s="221"/>
      <c r="U419" s="221"/>
      <c r="V419" s="221"/>
      <c r="W419" s="221"/>
      <c r="X419" s="221"/>
      <c r="Y419" s="221"/>
      <c r="Z419" s="221"/>
      <c r="AA419" s="221"/>
      <c r="AB419" s="221"/>
      <c r="AC419" s="221"/>
      <c r="AD419" s="82"/>
      <c r="AE419" s="83"/>
      <c r="AF419" s="83"/>
      <c r="AG419" s="70"/>
      <c r="AH419" s="83"/>
      <c r="AI419" s="82"/>
    </row>
    <row r="420" spans="1:35" ht="15.5" x14ac:dyDescent="0.3">
      <c r="A420" s="66"/>
      <c r="B420" s="1600">
        <v>533113</v>
      </c>
      <c r="C420" s="1601"/>
      <c r="D420" s="1586"/>
      <c r="E420" s="1587"/>
      <c r="F420" s="1588"/>
      <c r="G420" s="1206"/>
      <c r="H420" s="1194">
        <f t="shared" si="39"/>
        <v>0</v>
      </c>
      <c r="I420" s="1195"/>
      <c r="J420" s="1659"/>
      <c r="K420" s="1660"/>
      <c r="L420" s="1196"/>
      <c r="M420" s="1197">
        <f t="shared" si="38"/>
        <v>0</v>
      </c>
      <c r="N420" s="221"/>
      <c r="O420" s="221"/>
      <c r="P420" s="221"/>
      <c r="Q420" s="221"/>
      <c r="R420" s="221"/>
      <c r="S420" s="221"/>
      <c r="T420" s="221"/>
      <c r="U420" s="221"/>
      <c r="V420" s="221"/>
      <c r="W420" s="221"/>
      <c r="X420" s="221"/>
      <c r="Y420" s="221"/>
      <c r="Z420" s="221"/>
      <c r="AA420" s="221"/>
      <c r="AB420" s="221"/>
      <c r="AC420" s="221"/>
      <c r="AD420" s="82"/>
      <c r="AE420" s="83"/>
      <c r="AF420" s="83"/>
      <c r="AG420" s="70"/>
      <c r="AH420" s="83"/>
      <c r="AI420" s="82"/>
    </row>
    <row r="421" spans="1:35" ht="15.5" x14ac:dyDescent="0.3">
      <c r="A421" s="66"/>
      <c r="B421" s="1600">
        <v>533114</v>
      </c>
      <c r="C421" s="1601"/>
      <c r="D421" s="1586"/>
      <c r="E421" s="1587"/>
      <c r="F421" s="1588"/>
      <c r="G421" s="1206"/>
      <c r="H421" s="1194">
        <f t="shared" si="39"/>
        <v>0</v>
      </c>
      <c r="I421" s="1195"/>
      <c r="J421" s="1659"/>
      <c r="K421" s="1660"/>
      <c r="L421" s="1196"/>
      <c r="M421" s="1197">
        <f t="shared" si="38"/>
        <v>0</v>
      </c>
      <c r="N421" s="221"/>
      <c r="O421" s="221"/>
      <c r="P421" s="221"/>
      <c r="Q421" s="221"/>
      <c r="R421" s="221"/>
      <c r="S421" s="221"/>
      <c r="T421" s="221"/>
      <c r="U421" s="221"/>
      <c r="V421" s="221"/>
      <c r="W421" s="221"/>
      <c r="X421" s="221"/>
      <c r="Y421" s="221"/>
      <c r="Z421" s="221"/>
      <c r="AA421" s="221"/>
      <c r="AB421" s="221"/>
      <c r="AC421" s="221"/>
      <c r="AD421" s="82"/>
      <c r="AE421" s="83"/>
      <c r="AF421" s="83"/>
      <c r="AG421" s="70"/>
      <c r="AH421" s="83"/>
      <c r="AI421" s="82"/>
    </row>
    <row r="422" spans="1:35" ht="15.5" x14ac:dyDescent="0.3">
      <c r="A422" s="66"/>
      <c r="B422" s="1600">
        <v>533115</v>
      </c>
      <c r="C422" s="1601"/>
      <c r="D422" s="1586"/>
      <c r="E422" s="1648"/>
      <c r="F422" s="1649"/>
      <c r="G422" s="1206"/>
      <c r="H422" s="1194">
        <f t="shared" si="39"/>
        <v>0</v>
      </c>
      <c r="I422" s="1195"/>
      <c r="J422" s="1659"/>
      <c r="K422" s="1649"/>
      <c r="L422" s="1196"/>
      <c r="M422" s="1197">
        <f t="shared" si="38"/>
        <v>0</v>
      </c>
      <c r="N422" s="221"/>
      <c r="O422" s="221"/>
      <c r="P422" s="221"/>
      <c r="Q422" s="221"/>
      <c r="R422" s="221"/>
      <c r="S422" s="221"/>
      <c r="T422" s="221"/>
      <c r="U422" s="221"/>
      <c r="V422" s="221"/>
      <c r="W422" s="221"/>
      <c r="X422" s="221"/>
      <c r="Y422" s="221"/>
      <c r="Z422" s="221"/>
      <c r="AA422" s="221"/>
      <c r="AB422" s="221"/>
      <c r="AC422" s="221"/>
      <c r="AD422" s="82"/>
      <c r="AE422" s="83"/>
      <c r="AF422" s="83"/>
      <c r="AG422" s="70"/>
      <c r="AH422" s="83"/>
      <c r="AI422" s="82"/>
    </row>
    <row r="423" spans="1:35" ht="15.5" x14ac:dyDescent="0.3">
      <c r="A423" s="66"/>
      <c r="B423" s="1600">
        <v>533116</v>
      </c>
      <c r="C423" s="1601"/>
      <c r="D423" s="1586"/>
      <c r="E423" s="1648"/>
      <c r="F423" s="1649"/>
      <c r="G423" s="1206"/>
      <c r="H423" s="1194">
        <f t="shared" si="39"/>
        <v>0</v>
      </c>
      <c r="I423" s="1195"/>
      <c r="J423" s="1659"/>
      <c r="K423" s="1649"/>
      <c r="L423" s="1196"/>
      <c r="M423" s="1197">
        <f t="shared" si="38"/>
        <v>0</v>
      </c>
      <c r="N423" s="221"/>
      <c r="O423" s="221"/>
      <c r="P423" s="221"/>
      <c r="Q423" s="221"/>
      <c r="R423" s="221"/>
      <c r="S423" s="221"/>
      <c r="T423" s="221"/>
      <c r="U423" s="221"/>
      <c r="V423" s="221"/>
      <c r="W423" s="221"/>
      <c r="X423" s="221"/>
      <c r="Y423" s="221"/>
      <c r="Z423" s="221"/>
      <c r="AA423" s="221"/>
      <c r="AB423" s="221"/>
      <c r="AC423" s="221"/>
      <c r="AD423" s="82"/>
      <c r="AE423" s="83"/>
      <c r="AF423" s="83"/>
      <c r="AG423" s="70"/>
      <c r="AH423" s="83"/>
      <c r="AI423" s="82"/>
    </row>
    <row r="424" spans="1:35" ht="15.5" x14ac:dyDescent="0.3">
      <c r="A424" s="66"/>
      <c r="B424" s="1600">
        <v>533117</v>
      </c>
      <c r="C424" s="1601"/>
      <c r="D424" s="1586"/>
      <c r="E424" s="1648"/>
      <c r="F424" s="1649"/>
      <c r="G424" s="1206"/>
      <c r="H424" s="1194">
        <f t="shared" si="39"/>
        <v>0</v>
      </c>
      <c r="I424" s="1195"/>
      <c r="J424" s="1659"/>
      <c r="K424" s="1649"/>
      <c r="L424" s="1196"/>
      <c r="M424" s="1197">
        <f t="shared" si="38"/>
        <v>0</v>
      </c>
      <c r="N424" s="221"/>
      <c r="O424" s="221"/>
      <c r="P424" s="221"/>
      <c r="Q424" s="221"/>
      <c r="R424" s="221"/>
      <c r="S424" s="221"/>
      <c r="T424" s="221"/>
      <c r="U424" s="221"/>
      <c r="V424" s="221"/>
      <c r="W424" s="221"/>
      <c r="X424" s="221"/>
      <c r="Y424" s="221"/>
      <c r="Z424" s="221"/>
      <c r="AA424" s="221"/>
      <c r="AB424" s="221"/>
      <c r="AC424" s="221"/>
      <c r="AD424" s="82"/>
      <c r="AE424" s="83"/>
      <c r="AF424" s="83"/>
      <c r="AG424" s="70"/>
      <c r="AH424" s="83"/>
      <c r="AI424" s="82"/>
    </row>
    <row r="425" spans="1:35" ht="15.5" x14ac:dyDescent="0.3">
      <c r="A425" s="66"/>
      <c r="B425" s="1600">
        <v>533118</v>
      </c>
      <c r="C425" s="1601"/>
      <c r="D425" s="1586"/>
      <c r="E425" s="1648"/>
      <c r="F425" s="1649"/>
      <c r="G425" s="1206"/>
      <c r="H425" s="1194">
        <f t="shared" si="39"/>
        <v>0</v>
      </c>
      <c r="I425" s="1195"/>
      <c r="J425" s="1659"/>
      <c r="K425" s="1649"/>
      <c r="L425" s="1196"/>
      <c r="M425" s="1197">
        <f t="shared" si="38"/>
        <v>0</v>
      </c>
      <c r="N425" s="221"/>
      <c r="O425" s="221"/>
      <c r="P425" s="221"/>
      <c r="Q425" s="221"/>
      <c r="R425" s="221"/>
      <c r="S425" s="221"/>
      <c r="T425" s="221"/>
      <c r="U425" s="221"/>
      <c r="V425" s="221"/>
      <c r="W425" s="221"/>
      <c r="X425" s="221"/>
      <c r="Y425" s="221"/>
      <c r="Z425" s="221"/>
      <c r="AA425" s="221"/>
      <c r="AB425" s="221"/>
      <c r="AC425" s="221"/>
      <c r="AD425" s="82"/>
      <c r="AE425" s="83"/>
      <c r="AF425" s="83"/>
      <c r="AG425" s="70"/>
      <c r="AH425" s="83"/>
      <c r="AI425" s="82"/>
    </row>
    <row r="426" spans="1:35" ht="15.5" x14ac:dyDescent="0.3">
      <c r="A426" s="66"/>
      <c r="B426" s="1600">
        <v>533121</v>
      </c>
      <c r="C426" s="1601"/>
      <c r="D426" s="1586"/>
      <c r="E426" s="1648"/>
      <c r="F426" s="1649"/>
      <c r="G426" s="1206"/>
      <c r="H426" s="1194">
        <f>D426-G426</f>
        <v>0</v>
      </c>
      <c r="I426" s="1195"/>
      <c r="J426" s="1659">
        <v>740762149</v>
      </c>
      <c r="K426" s="1649"/>
      <c r="L426" s="1196"/>
      <c r="M426" s="1197">
        <f>J426-L426</f>
        <v>740762149</v>
      </c>
      <c r="N426" s="221"/>
      <c r="O426" s="221"/>
      <c r="P426" s="221"/>
      <c r="Q426" s="221"/>
      <c r="R426" s="221"/>
      <c r="S426" s="221"/>
      <c r="T426" s="221"/>
      <c r="U426" s="221"/>
      <c r="V426" s="221"/>
      <c r="W426" s="221"/>
      <c r="X426" s="221"/>
      <c r="Y426" s="221"/>
      <c r="Z426" s="221"/>
      <c r="AA426" s="221"/>
      <c r="AB426" s="221"/>
      <c r="AC426" s="221"/>
      <c r="AD426" s="82"/>
      <c r="AE426" s="83"/>
      <c r="AF426" s="83"/>
      <c r="AG426" s="70"/>
      <c r="AH426" s="83"/>
      <c r="AI426" s="82"/>
    </row>
    <row r="427" spans="1:35" ht="15.5" x14ac:dyDescent="0.3">
      <c r="A427" s="66"/>
      <c r="B427" s="1600">
        <v>533211</v>
      </c>
      <c r="C427" s="1601"/>
      <c r="D427" s="1586"/>
      <c r="E427" s="1648"/>
      <c r="F427" s="1649"/>
      <c r="G427" s="1206"/>
      <c r="H427" s="1194">
        <f t="shared" si="39"/>
        <v>0</v>
      </c>
      <c r="I427" s="1195"/>
      <c r="J427" s="1659"/>
      <c r="K427" s="1649"/>
      <c r="L427" s="1196"/>
      <c r="M427" s="1197">
        <f t="shared" si="38"/>
        <v>0</v>
      </c>
      <c r="N427" s="221"/>
      <c r="O427" s="221"/>
      <c r="P427" s="221"/>
      <c r="Q427" s="221"/>
      <c r="R427" s="221"/>
      <c r="S427" s="221"/>
      <c r="T427" s="221"/>
      <c r="U427" s="221"/>
      <c r="V427" s="221"/>
      <c r="W427" s="221"/>
      <c r="X427" s="221"/>
      <c r="Y427" s="221"/>
      <c r="Z427" s="221"/>
      <c r="AA427" s="221"/>
      <c r="AB427" s="221"/>
      <c r="AC427" s="221"/>
      <c r="AD427" s="82"/>
      <c r="AE427" s="83"/>
      <c r="AF427" s="83"/>
      <c r="AG427" s="70"/>
      <c r="AH427" s="83"/>
      <c r="AI427" s="82"/>
    </row>
    <row r="428" spans="1:35" ht="15.5" x14ac:dyDescent="0.3">
      <c r="A428" s="66"/>
      <c r="B428" s="1673"/>
      <c r="C428" s="1674"/>
      <c r="D428" s="1586"/>
      <c r="E428" s="1587"/>
      <c r="F428" s="1588"/>
      <c r="G428" s="1206"/>
      <c r="H428" s="1194">
        <f t="shared" si="39"/>
        <v>0</v>
      </c>
      <c r="I428" s="1195"/>
      <c r="J428" s="1659"/>
      <c r="K428" s="1660"/>
      <c r="L428" s="1196"/>
      <c r="M428" s="1197">
        <f t="shared" si="38"/>
        <v>0</v>
      </c>
      <c r="N428" s="221"/>
      <c r="O428" s="221"/>
      <c r="P428" s="221"/>
      <c r="Q428" s="221"/>
      <c r="R428" s="221"/>
      <c r="S428" s="221"/>
      <c r="T428" s="221"/>
      <c r="U428" s="221"/>
      <c r="V428" s="221"/>
      <c r="W428" s="221"/>
      <c r="X428" s="221"/>
      <c r="Y428" s="221"/>
      <c r="Z428" s="221"/>
      <c r="AA428" s="221"/>
      <c r="AB428" s="221"/>
      <c r="AC428" s="221"/>
      <c r="AD428" s="82"/>
      <c r="AE428" s="83"/>
      <c r="AF428" s="83"/>
      <c r="AG428" s="70"/>
      <c r="AH428" s="83"/>
      <c r="AI428" s="82"/>
    </row>
    <row r="429" spans="1:35" ht="16" thickBot="1" x14ac:dyDescent="0.35">
      <c r="A429" s="66"/>
      <c r="B429" s="1664"/>
      <c r="C429" s="1665"/>
      <c r="D429" s="1586"/>
      <c r="E429" s="1587"/>
      <c r="F429" s="1588"/>
      <c r="G429" s="1206"/>
      <c r="H429" s="1194">
        <f t="shared" si="39"/>
        <v>0</v>
      </c>
      <c r="I429" s="1195"/>
      <c r="J429" s="1659"/>
      <c r="K429" s="1660"/>
      <c r="L429" s="1196"/>
      <c r="M429" s="1197">
        <f t="shared" si="38"/>
        <v>0</v>
      </c>
      <c r="N429" s="221"/>
      <c r="O429" s="221"/>
      <c r="P429" s="221"/>
      <c r="Q429" s="221"/>
      <c r="R429" s="221"/>
      <c r="S429" s="221"/>
      <c r="T429" s="221"/>
      <c r="U429" s="221"/>
      <c r="V429" s="221"/>
      <c r="W429" s="221"/>
      <c r="X429" s="221"/>
      <c r="Y429" s="221"/>
      <c r="Z429" s="221"/>
      <c r="AA429" s="221"/>
      <c r="AB429" s="221"/>
      <c r="AC429" s="221"/>
      <c r="AD429" s="82"/>
      <c r="AE429" s="83"/>
      <c r="AF429" s="83"/>
      <c r="AG429" s="70"/>
      <c r="AH429" s="83"/>
      <c r="AI429" s="82"/>
    </row>
    <row r="430" spans="1:35" ht="16.5" thickTop="1" thickBot="1" x14ac:dyDescent="0.35">
      <c r="A430" s="66"/>
      <c r="B430" s="1214" t="s">
        <v>116</v>
      </c>
      <c r="C430" s="1215"/>
      <c r="D430" s="1591">
        <f>SUM(D418:F429)</f>
        <v>536663050</v>
      </c>
      <c r="E430" s="1592"/>
      <c r="F430" s="1593"/>
      <c r="G430" s="1185">
        <f>SUM(G418:G429)</f>
        <v>0</v>
      </c>
      <c r="H430" s="1186">
        <f>SUM(H418:H429)</f>
        <v>536663050</v>
      </c>
      <c r="I430" s="1187"/>
      <c r="J430" s="1666">
        <f>SUM(J418:K429)</f>
        <v>740762149</v>
      </c>
      <c r="K430" s="1667"/>
      <c r="L430" s="1188">
        <f>SUM(L418:L429)</f>
        <v>0</v>
      </c>
      <c r="M430" s="1188">
        <f>SUM(M418:M429)</f>
        <v>740762149</v>
      </c>
      <c r="N430" s="221"/>
      <c r="O430" s="221"/>
      <c r="P430" s="221"/>
      <c r="Q430" s="221"/>
      <c r="R430" s="221"/>
      <c r="S430" s="221"/>
      <c r="T430" s="221"/>
      <c r="U430" s="221"/>
      <c r="V430" s="221"/>
      <c r="W430" s="221"/>
      <c r="X430" s="221"/>
      <c r="Y430" s="221"/>
      <c r="Z430" s="221"/>
      <c r="AA430" s="221"/>
      <c r="AB430" s="221"/>
      <c r="AC430" s="221"/>
      <c r="AD430" s="82"/>
      <c r="AE430" s="83"/>
      <c r="AF430" s="83"/>
      <c r="AG430" s="70"/>
      <c r="AH430" s="83"/>
      <c r="AI430" s="82"/>
    </row>
    <row r="431" spans="1:35" ht="16.5" thickTop="1" thickBot="1" x14ac:dyDescent="0.4">
      <c r="A431" s="66"/>
      <c r="B431" s="1671" t="str">
        <f>$B$69</f>
        <v>31 Desember 2019</v>
      </c>
      <c r="C431" s="1671"/>
      <c r="D431" s="1671"/>
      <c r="E431" s="1671"/>
      <c r="F431" s="1671"/>
      <c r="G431" s="1671"/>
      <c r="H431" s="1671"/>
      <c r="I431" s="230"/>
      <c r="J431" s="1672" t="str">
        <f>$J$69</f>
        <v>31 Desember 2018</v>
      </c>
      <c r="K431" s="1671"/>
      <c r="L431" s="1671"/>
      <c r="M431" s="1671"/>
      <c r="N431" s="221"/>
      <c r="O431" s="1898"/>
      <c r="P431" s="1898"/>
      <c r="Q431" s="1898"/>
      <c r="R431" s="1898"/>
      <c r="S431" s="1898"/>
      <c r="T431" s="1898"/>
      <c r="U431" s="1898"/>
      <c r="V431" s="1898"/>
      <c r="W431" s="1898"/>
      <c r="X431" s="1898"/>
      <c r="Y431" s="221"/>
      <c r="Z431" s="221"/>
      <c r="AA431" s="221"/>
      <c r="AB431" s="221"/>
      <c r="AC431" s="221"/>
      <c r="AD431" s="82"/>
      <c r="AE431" s="83"/>
      <c r="AF431" s="83"/>
      <c r="AG431" s="70"/>
      <c r="AH431" s="83"/>
      <c r="AI431" s="82"/>
    </row>
    <row r="432" spans="1:35" ht="20.5" thickTop="1" x14ac:dyDescent="0.3">
      <c r="A432" s="66"/>
      <c r="B432" s="1668" t="s">
        <v>244</v>
      </c>
      <c r="C432" s="1669"/>
      <c r="D432" s="1669"/>
      <c r="E432" s="1669"/>
      <c r="F432" s="1669"/>
      <c r="G432" s="1669"/>
      <c r="H432" s="1669"/>
      <c r="I432" s="1669"/>
      <c r="J432" s="1669"/>
      <c r="K432" s="1669"/>
      <c r="L432" s="1669"/>
      <c r="M432" s="1670"/>
      <c r="N432" s="221"/>
      <c r="O432" s="221"/>
      <c r="P432" s="221"/>
      <c r="Q432" s="221"/>
      <c r="R432" s="221"/>
      <c r="S432" s="221"/>
      <c r="T432" s="221"/>
      <c r="U432" s="221"/>
      <c r="V432" s="221"/>
      <c r="W432" s="221"/>
      <c r="X432" s="221"/>
      <c r="Y432" s="221"/>
      <c r="Z432" s="221"/>
      <c r="AA432" s="221"/>
      <c r="AB432" s="221"/>
      <c r="AC432" s="221"/>
      <c r="AD432" s="82"/>
      <c r="AE432" s="83"/>
      <c r="AF432" s="83"/>
      <c r="AG432" s="70"/>
      <c r="AH432" s="83"/>
      <c r="AI432" s="82"/>
    </row>
    <row r="433" spans="1:35" ht="15.5" x14ac:dyDescent="0.3">
      <c r="A433" s="66"/>
      <c r="B433" s="1710"/>
      <c r="C433" s="1601"/>
      <c r="D433" s="1584" t="s">
        <v>46</v>
      </c>
      <c r="E433" s="1713"/>
      <c r="F433" s="1585"/>
      <c r="G433" s="1189" t="s">
        <v>175</v>
      </c>
      <c r="H433" s="1190" t="s">
        <v>183</v>
      </c>
      <c r="I433" s="1216"/>
      <c r="J433" s="1584" t="s">
        <v>46</v>
      </c>
      <c r="K433" s="1585"/>
      <c r="L433" s="1189" t="s">
        <v>175</v>
      </c>
      <c r="M433" s="1192" t="s">
        <v>183</v>
      </c>
      <c r="N433" s="221"/>
      <c r="O433" s="221"/>
      <c r="P433" s="221"/>
      <c r="Q433" s="221"/>
      <c r="R433" s="221"/>
      <c r="S433" s="221"/>
      <c r="T433" s="221"/>
      <c r="U433" s="221"/>
      <c r="V433" s="221"/>
      <c r="W433" s="221"/>
      <c r="X433" s="221"/>
      <c r="Y433" s="221"/>
      <c r="Z433" s="221"/>
      <c r="AA433" s="221"/>
      <c r="AB433" s="221"/>
      <c r="AC433" s="221"/>
      <c r="AD433" s="82"/>
      <c r="AE433" s="83"/>
      <c r="AF433" s="83"/>
      <c r="AG433" s="70"/>
      <c r="AH433" s="83"/>
      <c r="AI433" s="82"/>
    </row>
    <row r="434" spans="1:35" ht="15.5" x14ac:dyDescent="0.3">
      <c r="A434" s="66"/>
      <c r="B434" s="1600">
        <v>534111</v>
      </c>
      <c r="C434" s="1899"/>
      <c r="D434" s="1586"/>
      <c r="E434" s="1587"/>
      <c r="F434" s="1588"/>
      <c r="G434" s="1202"/>
      <c r="H434" s="1194">
        <f>D434-G434</f>
        <v>0</v>
      </c>
      <c r="I434" s="1195"/>
      <c r="J434" s="1659"/>
      <c r="K434" s="1660"/>
      <c r="L434" s="1196"/>
      <c r="M434" s="1197">
        <f t="shared" ref="M434:M443" si="40">J434-L434</f>
        <v>0</v>
      </c>
      <c r="N434" s="221"/>
      <c r="O434" s="221"/>
      <c r="P434" s="221"/>
      <c r="Q434" s="221"/>
      <c r="R434" s="221"/>
      <c r="S434" s="221"/>
      <c r="T434" s="221"/>
      <c r="U434" s="221"/>
      <c r="V434" s="221"/>
      <c r="W434" s="221"/>
      <c r="X434" s="221"/>
      <c r="Y434" s="221"/>
      <c r="Z434" s="221"/>
      <c r="AA434" s="221"/>
      <c r="AB434" s="221"/>
      <c r="AC434" s="221"/>
      <c r="AD434" s="82"/>
      <c r="AE434" s="83"/>
      <c r="AF434" s="83"/>
      <c r="AG434" s="70"/>
      <c r="AH434" s="83"/>
      <c r="AI434" s="82"/>
    </row>
    <row r="435" spans="1:35" ht="15.5" x14ac:dyDescent="0.3">
      <c r="A435" s="66"/>
      <c r="B435" s="1600">
        <v>534112</v>
      </c>
      <c r="C435" s="1899"/>
      <c r="D435" s="1586"/>
      <c r="E435" s="1587"/>
      <c r="F435" s="1588"/>
      <c r="G435" s="1206"/>
      <c r="H435" s="1194">
        <f t="shared" ref="H435:H443" si="41">D435-G435</f>
        <v>0</v>
      </c>
      <c r="I435" s="1195"/>
      <c r="J435" s="1659"/>
      <c r="K435" s="1660"/>
      <c r="L435" s="1196"/>
      <c r="M435" s="1197">
        <f t="shared" si="40"/>
        <v>0</v>
      </c>
      <c r="N435" s="221"/>
      <c r="O435" s="221"/>
      <c r="P435" s="221"/>
      <c r="Q435" s="221"/>
      <c r="R435" s="221"/>
      <c r="S435" s="221"/>
      <c r="T435" s="221"/>
      <c r="U435" s="221"/>
      <c r="V435" s="221"/>
      <c r="W435" s="221"/>
      <c r="X435" s="221"/>
      <c r="Y435" s="221"/>
      <c r="Z435" s="221"/>
      <c r="AA435" s="221"/>
      <c r="AB435" s="221"/>
      <c r="AC435" s="221"/>
      <c r="AD435" s="82"/>
      <c r="AE435" s="83"/>
      <c r="AF435" s="83"/>
      <c r="AG435" s="70"/>
      <c r="AH435" s="83"/>
      <c r="AI435" s="82"/>
    </row>
    <row r="436" spans="1:35" ht="15.5" x14ac:dyDescent="0.3">
      <c r="A436" s="66"/>
      <c r="B436" s="1600">
        <v>534113</v>
      </c>
      <c r="C436" s="1899"/>
      <c r="D436" s="1586"/>
      <c r="E436" s="1587"/>
      <c r="F436" s="1588"/>
      <c r="G436" s="1206"/>
      <c r="H436" s="1194">
        <f t="shared" si="41"/>
        <v>0</v>
      </c>
      <c r="I436" s="1195"/>
      <c r="J436" s="1659"/>
      <c r="K436" s="1660"/>
      <c r="L436" s="1196"/>
      <c r="M436" s="1197">
        <f t="shared" si="40"/>
        <v>0</v>
      </c>
      <c r="N436" s="221"/>
      <c r="O436" s="221"/>
      <c r="P436" s="221"/>
      <c r="Q436" s="221"/>
      <c r="R436" s="221"/>
      <c r="S436" s="221"/>
      <c r="T436" s="221"/>
      <c r="U436" s="221"/>
      <c r="V436" s="221"/>
      <c r="W436" s="221"/>
      <c r="X436" s="221"/>
      <c r="Y436" s="221"/>
      <c r="Z436" s="221"/>
      <c r="AA436" s="221"/>
      <c r="AB436" s="221"/>
      <c r="AC436" s="221"/>
      <c r="AD436" s="82"/>
      <c r="AE436" s="83"/>
      <c r="AF436" s="83"/>
      <c r="AG436" s="70"/>
      <c r="AH436" s="83"/>
      <c r="AI436" s="82"/>
    </row>
    <row r="437" spans="1:35" ht="15.5" x14ac:dyDescent="0.3">
      <c r="A437" s="66"/>
      <c r="B437" s="1600">
        <v>534114</v>
      </c>
      <c r="C437" s="1899"/>
      <c r="D437" s="1586"/>
      <c r="E437" s="1587"/>
      <c r="F437" s="1588"/>
      <c r="G437" s="1206"/>
      <c r="H437" s="1194">
        <f t="shared" si="41"/>
        <v>0</v>
      </c>
      <c r="I437" s="1195"/>
      <c r="J437" s="1659"/>
      <c r="K437" s="1660"/>
      <c r="L437" s="1196"/>
      <c r="M437" s="1197">
        <f t="shared" si="40"/>
        <v>0</v>
      </c>
      <c r="N437" s="221"/>
      <c r="O437" s="221"/>
      <c r="P437" s="221"/>
      <c r="Q437" s="221"/>
      <c r="R437" s="221"/>
      <c r="S437" s="221"/>
      <c r="T437" s="221"/>
      <c r="U437" s="221"/>
      <c r="V437" s="221"/>
      <c r="W437" s="221"/>
      <c r="X437" s="221"/>
      <c r="Y437" s="221"/>
      <c r="Z437" s="221"/>
      <c r="AA437" s="221"/>
      <c r="AB437" s="221"/>
      <c r="AC437" s="221"/>
      <c r="AD437" s="82"/>
      <c r="AE437" s="83"/>
      <c r="AF437" s="83"/>
      <c r="AG437" s="70"/>
      <c r="AH437" s="83"/>
      <c r="AI437" s="82"/>
    </row>
    <row r="438" spans="1:35" ht="15.5" x14ac:dyDescent="0.3">
      <c r="A438" s="66"/>
      <c r="B438" s="1600">
        <v>534115</v>
      </c>
      <c r="C438" s="1899"/>
      <c r="D438" s="1586"/>
      <c r="E438" s="1648"/>
      <c r="F438" s="1649"/>
      <c r="G438" s="1206"/>
      <c r="H438" s="1194">
        <f t="shared" si="41"/>
        <v>0</v>
      </c>
      <c r="I438" s="1195"/>
      <c r="J438" s="1659"/>
      <c r="K438" s="1649"/>
      <c r="L438" s="1196"/>
      <c r="M438" s="1197">
        <f t="shared" si="40"/>
        <v>0</v>
      </c>
      <c r="N438" s="221"/>
      <c r="O438" s="221"/>
      <c r="P438" s="221"/>
      <c r="Q438" s="221"/>
      <c r="R438" s="221"/>
      <c r="S438" s="221"/>
      <c r="T438" s="221"/>
      <c r="U438" s="221"/>
      <c r="V438" s="221"/>
      <c r="W438" s="221"/>
      <c r="X438" s="221"/>
      <c r="Y438" s="221"/>
      <c r="Z438" s="221"/>
      <c r="AA438" s="221"/>
      <c r="AB438" s="221"/>
      <c r="AC438" s="221"/>
      <c r="AD438" s="82"/>
      <c r="AE438" s="83"/>
      <c r="AF438" s="83"/>
      <c r="AG438" s="70"/>
      <c r="AH438" s="83"/>
      <c r="AI438" s="82"/>
    </row>
    <row r="439" spans="1:35" ht="15.5" x14ac:dyDescent="0.3">
      <c r="A439" s="66"/>
      <c r="B439" s="1600">
        <v>534116</v>
      </c>
      <c r="C439" s="1899"/>
      <c r="D439" s="1586"/>
      <c r="E439" s="1648"/>
      <c r="F439" s="1649"/>
      <c r="G439" s="1206"/>
      <c r="H439" s="1194">
        <f t="shared" si="41"/>
        <v>0</v>
      </c>
      <c r="I439" s="1195"/>
      <c r="J439" s="1659"/>
      <c r="K439" s="1649"/>
      <c r="L439" s="1196"/>
      <c r="M439" s="1197">
        <f t="shared" si="40"/>
        <v>0</v>
      </c>
      <c r="N439" s="221"/>
      <c r="O439" s="221"/>
      <c r="P439" s="221"/>
      <c r="Q439" s="221"/>
      <c r="R439" s="221"/>
      <c r="S439" s="221"/>
      <c r="T439" s="221"/>
      <c r="U439" s="221"/>
      <c r="V439" s="221"/>
      <c r="W439" s="221"/>
      <c r="X439" s="221"/>
      <c r="Y439" s="221"/>
      <c r="Z439" s="221"/>
      <c r="AA439" s="221"/>
      <c r="AB439" s="221"/>
      <c r="AC439" s="221"/>
      <c r="AD439" s="82"/>
      <c r="AE439" s="83"/>
      <c r="AF439" s="83"/>
      <c r="AG439" s="70"/>
      <c r="AH439" s="83"/>
      <c r="AI439" s="82"/>
    </row>
    <row r="440" spans="1:35" ht="15.5" x14ac:dyDescent="0.3">
      <c r="A440" s="66"/>
      <c r="B440" s="1600">
        <v>534117</v>
      </c>
      <c r="C440" s="1899"/>
      <c r="D440" s="1586"/>
      <c r="E440" s="1648"/>
      <c r="F440" s="1649"/>
      <c r="G440" s="1206"/>
      <c r="H440" s="1194">
        <f t="shared" si="41"/>
        <v>0</v>
      </c>
      <c r="I440" s="1195"/>
      <c r="J440" s="1659"/>
      <c r="K440" s="1649"/>
      <c r="L440" s="1196"/>
      <c r="M440" s="1197">
        <f t="shared" si="40"/>
        <v>0</v>
      </c>
      <c r="N440" s="221"/>
      <c r="O440" s="221"/>
      <c r="P440" s="221"/>
      <c r="Q440" s="221"/>
      <c r="R440" s="221"/>
      <c r="S440" s="221"/>
      <c r="T440" s="221"/>
      <c r="U440" s="221"/>
      <c r="V440" s="221"/>
      <c r="W440" s="221"/>
      <c r="X440" s="221"/>
      <c r="Y440" s="221"/>
      <c r="Z440" s="221"/>
      <c r="AA440" s="221"/>
      <c r="AB440" s="221"/>
      <c r="AC440" s="221"/>
      <c r="AD440" s="82"/>
      <c r="AE440" s="83"/>
      <c r="AF440" s="83"/>
      <c r="AG440" s="70"/>
      <c r="AH440" s="83"/>
      <c r="AI440" s="82"/>
    </row>
    <row r="441" spans="1:35" ht="15.5" x14ac:dyDescent="0.3">
      <c r="A441" s="66"/>
      <c r="B441" s="1600">
        <v>534118</v>
      </c>
      <c r="C441" s="1899"/>
      <c r="D441" s="1586"/>
      <c r="E441" s="1648"/>
      <c r="F441" s="1649"/>
      <c r="G441" s="1206"/>
      <c r="H441" s="1194">
        <f t="shared" si="41"/>
        <v>0</v>
      </c>
      <c r="I441" s="1195"/>
      <c r="J441" s="1659"/>
      <c r="K441" s="1649"/>
      <c r="L441" s="1196"/>
      <c r="M441" s="1197">
        <f t="shared" si="40"/>
        <v>0</v>
      </c>
      <c r="N441" s="221"/>
      <c r="O441" s="221"/>
      <c r="P441" s="221"/>
      <c r="Q441" s="221"/>
      <c r="R441" s="221"/>
      <c r="S441" s="221"/>
      <c r="T441" s="221"/>
      <c r="U441" s="221"/>
      <c r="V441" s="221"/>
      <c r="W441" s="221"/>
      <c r="X441" s="221"/>
      <c r="Y441" s="221"/>
      <c r="Z441" s="221"/>
      <c r="AA441" s="221"/>
      <c r="AB441" s="221"/>
      <c r="AC441" s="221"/>
      <c r="AD441" s="82"/>
      <c r="AE441" s="83"/>
      <c r="AF441" s="83"/>
      <c r="AG441" s="70"/>
      <c r="AH441" s="83"/>
      <c r="AI441" s="82"/>
    </row>
    <row r="442" spans="1:35" ht="15.5" x14ac:dyDescent="0.3">
      <c r="A442" s="66"/>
      <c r="B442" s="1673"/>
      <c r="C442" s="1734"/>
      <c r="D442" s="1586"/>
      <c r="E442" s="1587"/>
      <c r="F442" s="1588"/>
      <c r="G442" s="1206"/>
      <c r="H442" s="1194">
        <f t="shared" si="41"/>
        <v>0</v>
      </c>
      <c r="I442" s="1195"/>
      <c r="J442" s="1659"/>
      <c r="K442" s="1660"/>
      <c r="L442" s="1196"/>
      <c r="M442" s="1197">
        <f t="shared" si="40"/>
        <v>0</v>
      </c>
      <c r="N442" s="221"/>
      <c r="O442" s="221"/>
      <c r="P442" s="221"/>
      <c r="Q442" s="221"/>
      <c r="R442" s="221"/>
      <c r="S442" s="221"/>
      <c r="T442" s="221"/>
      <c r="U442" s="221"/>
      <c r="V442" s="221"/>
      <c r="W442" s="221"/>
      <c r="X442" s="221"/>
      <c r="Y442" s="221"/>
      <c r="Z442" s="221"/>
      <c r="AA442" s="221"/>
      <c r="AB442" s="221"/>
      <c r="AC442" s="221"/>
      <c r="AD442" s="82"/>
      <c r="AE442" s="83"/>
      <c r="AF442" s="83"/>
      <c r="AG442" s="70"/>
      <c r="AH442" s="83"/>
      <c r="AI442" s="82"/>
    </row>
    <row r="443" spans="1:35" ht="16" thickBot="1" x14ac:dyDescent="0.35">
      <c r="A443" s="66"/>
      <c r="B443" s="1664"/>
      <c r="C443" s="2041"/>
      <c r="D443" s="1586"/>
      <c r="E443" s="1587"/>
      <c r="F443" s="1588"/>
      <c r="G443" s="1206"/>
      <c r="H443" s="1194">
        <f t="shared" si="41"/>
        <v>0</v>
      </c>
      <c r="I443" s="1195"/>
      <c r="J443" s="1659"/>
      <c r="K443" s="1660"/>
      <c r="L443" s="1196"/>
      <c r="M443" s="1197">
        <f t="shared" si="40"/>
        <v>0</v>
      </c>
      <c r="N443" s="221"/>
      <c r="O443" s="221"/>
      <c r="P443" s="221"/>
      <c r="Q443" s="221"/>
      <c r="R443" s="221"/>
      <c r="S443" s="221"/>
      <c r="T443" s="221"/>
      <c r="U443" s="221"/>
      <c r="V443" s="221"/>
      <c r="W443" s="221"/>
      <c r="X443" s="221"/>
      <c r="Y443" s="221"/>
      <c r="Z443" s="221"/>
      <c r="AA443" s="221"/>
      <c r="AB443" s="221"/>
      <c r="AC443" s="221"/>
      <c r="AD443" s="82"/>
      <c r="AE443" s="83"/>
      <c r="AF443" s="83"/>
      <c r="AG443" s="70"/>
      <c r="AH443" s="83"/>
      <c r="AI443" s="82"/>
    </row>
    <row r="444" spans="1:35" ht="16.5" thickTop="1" thickBot="1" x14ac:dyDescent="0.35">
      <c r="A444" s="66"/>
      <c r="B444" s="1214" t="s">
        <v>116</v>
      </c>
      <c r="C444" s="1215"/>
      <c r="D444" s="1591">
        <f>SUM(D434:F443)</f>
        <v>0</v>
      </c>
      <c r="E444" s="1592"/>
      <c r="F444" s="1593"/>
      <c r="G444" s="1185">
        <f>SUM(G434:G443)</f>
        <v>0</v>
      </c>
      <c r="H444" s="1186">
        <f>SUM(H434:H443)</f>
        <v>0</v>
      </c>
      <c r="I444" s="1195"/>
      <c r="J444" s="1666">
        <f>SUM(J434:K443)</f>
        <v>0</v>
      </c>
      <c r="K444" s="1667"/>
      <c r="L444" s="1188">
        <f>SUM(L434:L443)</f>
        <v>0</v>
      </c>
      <c r="M444" s="1188">
        <f>SUM(M434:M443)</f>
        <v>0</v>
      </c>
      <c r="N444" s="221"/>
      <c r="O444" s="221"/>
      <c r="P444" s="221"/>
      <c r="Q444" s="221"/>
      <c r="R444" s="221"/>
      <c r="S444" s="221"/>
      <c r="T444" s="221"/>
      <c r="U444" s="221"/>
      <c r="V444" s="221"/>
      <c r="W444" s="221"/>
      <c r="X444" s="221"/>
      <c r="Y444" s="221"/>
      <c r="Z444" s="221"/>
      <c r="AA444" s="221"/>
      <c r="AB444" s="221"/>
      <c r="AC444" s="221"/>
      <c r="AD444" s="82"/>
      <c r="AE444" s="83"/>
      <c r="AF444" s="83"/>
      <c r="AG444" s="70"/>
      <c r="AH444" s="83"/>
      <c r="AI444" s="82"/>
    </row>
    <row r="445" spans="1:35" ht="16.5" thickTop="1" thickBot="1" x14ac:dyDescent="0.4">
      <c r="A445" s="66"/>
      <c r="B445" s="1671" t="str">
        <f>$B$69</f>
        <v>31 Desember 2019</v>
      </c>
      <c r="C445" s="1671"/>
      <c r="D445" s="1671"/>
      <c r="E445" s="1671"/>
      <c r="F445" s="1671"/>
      <c r="G445" s="1671"/>
      <c r="H445" s="1671"/>
      <c r="I445" s="230"/>
      <c r="J445" s="1672" t="str">
        <f>$J$69</f>
        <v>31 Desember 2018</v>
      </c>
      <c r="K445" s="1671"/>
      <c r="L445" s="1671"/>
      <c r="M445" s="1671"/>
      <c r="N445" s="221"/>
      <c r="O445" s="221"/>
      <c r="P445" s="221"/>
      <c r="Q445" s="221"/>
      <c r="R445" s="221"/>
      <c r="S445" s="221"/>
      <c r="T445" s="221"/>
      <c r="U445" s="221"/>
      <c r="V445" s="221"/>
      <c r="W445" s="221"/>
      <c r="X445" s="221"/>
      <c r="Y445" s="221"/>
      <c r="Z445" s="221"/>
      <c r="AA445" s="221"/>
      <c r="AB445" s="221"/>
      <c r="AC445" s="221"/>
      <c r="AD445" s="82"/>
      <c r="AE445" s="83"/>
      <c r="AF445" s="83"/>
      <c r="AG445" s="70"/>
      <c r="AH445" s="83"/>
      <c r="AI445" s="82"/>
    </row>
    <row r="446" spans="1:35" ht="20.5" thickTop="1" x14ac:dyDescent="0.3">
      <c r="A446" s="66"/>
      <c r="B446" s="1668" t="s">
        <v>245</v>
      </c>
      <c r="C446" s="1669"/>
      <c r="D446" s="1669"/>
      <c r="E446" s="1669"/>
      <c r="F446" s="1669"/>
      <c r="G446" s="1669"/>
      <c r="H446" s="1669"/>
      <c r="I446" s="1669"/>
      <c r="J446" s="1669"/>
      <c r="K446" s="1669"/>
      <c r="L446" s="1669"/>
      <c r="M446" s="1670"/>
      <c r="N446" s="221"/>
      <c r="O446" s="221"/>
      <c r="P446" s="221"/>
      <c r="Q446" s="221"/>
      <c r="R446" s="221"/>
      <c r="S446" s="221"/>
      <c r="T446" s="221"/>
      <c r="U446" s="221"/>
      <c r="V446" s="221"/>
      <c r="W446" s="221"/>
      <c r="X446" s="221"/>
      <c r="Y446" s="221"/>
      <c r="Z446" s="221"/>
      <c r="AA446" s="221"/>
      <c r="AB446" s="221"/>
      <c r="AC446" s="221"/>
      <c r="AD446" s="82"/>
      <c r="AE446" s="83"/>
      <c r="AF446" s="83"/>
      <c r="AG446" s="70"/>
      <c r="AH446" s="83"/>
      <c r="AI446" s="82"/>
    </row>
    <row r="447" spans="1:35" ht="15.5" x14ac:dyDescent="0.3">
      <c r="A447" s="66"/>
      <c r="B447" s="1710"/>
      <c r="C447" s="1601"/>
      <c r="D447" s="1584" t="s">
        <v>46</v>
      </c>
      <c r="E447" s="1713"/>
      <c r="F447" s="1585"/>
      <c r="G447" s="1189" t="s">
        <v>175</v>
      </c>
      <c r="H447" s="1190" t="s">
        <v>183</v>
      </c>
      <c r="I447" s="1216"/>
      <c r="J447" s="1584" t="s">
        <v>46</v>
      </c>
      <c r="K447" s="1585"/>
      <c r="L447" s="1189" t="s">
        <v>175</v>
      </c>
      <c r="M447" s="1192" t="s">
        <v>183</v>
      </c>
      <c r="N447" s="221"/>
      <c r="O447" s="221"/>
      <c r="P447" s="221"/>
      <c r="Q447" s="221"/>
      <c r="R447" s="221"/>
      <c r="S447" s="221"/>
      <c r="T447" s="221"/>
      <c r="U447" s="221"/>
      <c r="V447" s="221"/>
      <c r="W447" s="221"/>
      <c r="X447" s="221"/>
      <c r="Y447" s="221"/>
      <c r="Z447" s="221"/>
      <c r="AA447" s="221"/>
      <c r="AB447" s="221"/>
      <c r="AC447" s="221"/>
      <c r="AD447" s="82"/>
      <c r="AE447" s="83"/>
      <c r="AF447" s="83"/>
      <c r="AG447" s="70"/>
      <c r="AH447" s="83"/>
      <c r="AI447" s="82"/>
    </row>
    <row r="448" spans="1:35" ht="15.5" x14ac:dyDescent="0.3">
      <c r="A448" s="66"/>
      <c r="B448" s="1600">
        <v>534121</v>
      </c>
      <c r="C448" s="1601"/>
      <c r="D448" s="1586"/>
      <c r="E448" s="1587"/>
      <c r="F448" s="1588"/>
      <c r="G448" s="1202"/>
      <c r="H448" s="1194">
        <f>D448-G448</f>
        <v>0</v>
      </c>
      <c r="I448" s="1195"/>
      <c r="J448" s="1659"/>
      <c r="K448" s="1660"/>
      <c r="L448" s="1196"/>
      <c r="M448" s="1197">
        <f t="shared" ref="M448:M457" si="42">J448-L448</f>
        <v>0</v>
      </c>
      <c r="N448" s="221"/>
      <c r="O448" s="221"/>
      <c r="P448" s="221"/>
      <c r="Q448" s="221"/>
      <c r="R448" s="221"/>
      <c r="S448" s="221"/>
      <c r="T448" s="221"/>
      <c r="U448" s="221"/>
      <c r="V448" s="221"/>
      <c r="W448" s="221"/>
      <c r="X448" s="221"/>
      <c r="Y448" s="221"/>
      <c r="Z448" s="221"/>
      <c r="AA448" s="221"/>
      <c r="AB448" s="221"/>
      <c r="AC448" s="221"/>
      <c r="AD448" s="82"/>
      <c r="AE448" s="83"/>
      <c r="AF448" s="83"/>
      <c r="AG448" s="70"/>
      <c r="AH448" s="83"/>
      <c r="AI448" s="82"/>
    </row>
    <row r="449" spans="1:35" ht="15.5" x14ac:dyDescent="0.3">
      <c r="A449" s="66"/>
      <c r="B449" s="1600">
        <v>534122</v>
      </c>
      <c r="C449" s="1601"/>
      <c r="D449" s="1586"/>
      <c r="E449" s="1587"/>
      <c r="F449" s="1588"/>
      <c r="G449" s="1206"/>
      <c r="H449" s="1194">
        <f t="shared" ref="H449:H457" si="43">D449-G449</f>
        <v>0</v>
      </c>
      <c r="I449" s="1195"/>
      <c r="J449" s="1659"/>
      <c r="K449" s="1660"/>
      <c r="L449" s="1196"/>
      <c r="M449" s="1197">
        <f t="shared" si="42"/>
        <v>0</v>
      </c>
      <c r="N449" s="221"/>
      <c r="O449" s="221"/>
      <c r="P449" s="221"/>
      <c r="Q449" s="221"/>
      <c r="R449" s="221"/>
      <c r="S449" s="221"/>
      <c r="T449" s="221"/>
      <c r="U449" s="221"/>
      <c r="V449" s="221"/>
      <c r="W449" s="221"/>
      <c r="X449" s="221"/>
      <c r="Y449" s="221"/>
      <c r="Z449" s="221"/>
      <c r="AA449" s="221"/>
      <c r="AB449" s="221"/>
      <c r="AC449" s="221"/>
      <c r="AD449" s="82"/>
      <c r="AE449" s="83"/>
      <c r="AF449" s="83"/>
      <c r="AG449" s="70"/>
      <c r="AH449" s="83"/>
      <c r="AI449" s="82"/>
    </row>
    <row r="450" spans="1:35" ht="15.5" x14ac:dyDescent="0.3">
      <c r="A450" s="66"/>
      <c r="B450" s="1600">
        <v>534123</v>
      </c>
      <c r="C450" s="1601"/>
      <c r="D450" s="1586"/>
      <c r="E450" s="1587"/>
      <c r="F450" s="1588"/>
      <c r="G450" s="1206"/>
      <c r="H450" s="1194">
        <f t="shared" si="43"/>
        <v>0</v>
      </c>
      <c r="I450" s="1195"/>
      <c r="J450" s="1659"/>
      <c r="K450" s="1660"/>
      <c r="L450" s="1196"/>
      <c r="M450" s="1197">
        <f t="shared" si="42"/>
        <v>0</v>
      </c>
      <c r="N450" s="221"/>
      <c r="O450" s="221"/>
      <c r="P450" s="221"/>
      <c r="Q450" s="221"/>
      <c r="R450" s="221"/>
      <c r="S450" s="221"/>
      <c r="T450" s="221"/>
      <c r="U450" s="221"/>
      <c r="V450" s="221"/>
      <c r="W450" s="221"/>
      <c r="X450" s="221"/>
      <c r="Y450" s="221"/>
      <c r="Z450" s="221"/>
      <c r="AA450" s="221"/>
      <c r="AB450" s="221"/>
      <c r="AC450" s="221"/>
      <c r="AD450" s="82"/>
      <c r="AE450" s="83"/>
      <c r="AF450" s="83"/>
      <c r="AG450" s="70"/>
      <c r="AH450" s="83"/>
      <c r="AI450" s="82"/>
    </row>
    <row r="451" spans="1:35" ht="15.5" x14ac:dyDescent="0.3">
      <c r="A451" s="66"/>
      <c r="B451" s="1600">
        <v>534124</v>
      </c>
      <c r="C451" s="1601"/>
      <c r="D451" s="1586"/>
      <c r="E451" s="1587"/>
      <c r="F451" s="1588"/>
      <c r="G451" s="1206"/>
      <c r="H451" s="1194">
        <f t="shared" si="43"/>
        <v>0</v>
      </c>
      <c r="I451" s="1195"/>
      <c r="J451" s="1659"/>
      <c r="K451" s="1660"/>
      <c r="L451" s="1196"/>
      <c r="M451" s="1197">
        <f t="shared" si="42"/>
        <v>0</v>
      </c>
      <c r="N451" s="221"/>
      <c r="O451" s="221"/>
      <c r="P451" s="221"/>
      <c r="Q451" s="221"/>
      <c r="R451" s="221"/>
      <c r="S451" s="221"/>
      <c r="T451" s="221"/>
      <c r="U451" s="221"/>
      <c r="V451" s="221"/>
      <c r="W451" s="221"/>
      <c r="X451" s="221"/>
      <c r="Y451" s="221"/>
      <c r="Z451" s="221"/>
      <c r="AA451" s="221"/>
      <c r="AB451" s="221"/>
      <c r="AC451" s="221"/>
      <c r="AD451" s="82"/>
      <c r="AE451" s="83"/>
      <c r="AF451" s="83"/>
      <c r="AG451" s="70"/>
      <c r="AH451" s="83"/>
      <c r="AI451" s="82"/>
    </row>
    <row r="452" spans="1:35" ht="15.5" x14ac:dyDescent="0.3">
      <c r="A452" s="66"/>
      <c r="B452" s="1600">
        <v>534125</v>
      </c>
      <c r="C452" s="1601"/>
      <c r="D452" s="1586"/>
      <c r="E452" s="1648"/>
      <c r="F452" s="1649"/>
      <c r="G452" s="1206"/>
      <c r="H452" s="1194">
        <f t="shared" si="43"/>
        <v>0</v>
      </c>
      <c r="I452" s="1195"/>
      <c r="J452" s="1659"/>
      <c r="K452" s="1649"/>
      <c r="L452" s="1196"/>
      <c r="M452" s="1197">
        <f t="shared" si="42"/>
        <v>0</v>
      </c>
      <c r="N452" s="221"/>
      <c r="O452" s="221"/>
      <c r="P452" s="221"/>
      <c r="Q452" s="221"/>
      <c r="R452" s="221"/>
      <c r="S452" s="221"/>
      <c r="T452" s="221"/>
      <c r="U452" s="221"/>
      <c r="V452" s="221"/>
      <c r="W452" s="221"/>
      <c r="X452" s="221"/>
      <c r="Y452" s="221"/>
      <c r="Z452" s="221"/>
      <c r="AA452" s="221"/>
      <c r="AB452" s="221"/>
      <c r="AC452" s="221"/>
      <c r="AD452" s="82"/>
      <c r="AE452" s="83"/>
      <c r="AF452" s="83"/>
      <c r="AG452" s="70"/>
      <c r="AH452" s="83"/>
      <c r="AI452" s="82"/>
    </row>
    <row r="453" spans="1:35" ht="15.5" x14ac:dyDescent="0.3">
      <c r="A453" s="66"/>
      <c r="B453" s="1600">
        <v>534126</v>
      </c>
      <c r="C453" s="1601"/>
      <c r="D453" s="1586"/>
      <c r="E453" s="1648"/>
      <c r="F453" s="1649"/>
      <c r="G453" s="1206"/>
      <c r="H453" s="1194">
        <f t="shared" si="43"/>
        <v>0</v>
      </c>
      <c r="I453" s="1195"/>
      <c r="J453" s="1659"/>
      <c r="K453" s="1649"/>
      <c r="L453" s="1196"/>
      <c r="M453" s="1197">
        <f t="shared" si="42"/>
        <v>0</v>
      </c>
      <c r="N453" s="221"/>
      <c r="O453" s="221"/>
      <c r="P453" s="221"/>
      <c r="Q453" s="221"/>
      <c r="R453" s="221"/>
      <c r="S453" s="221"/>
      <c r="T453" s="221"/>
      <c r="U453" s="221"/>
      <c r="V453" s="221"/>
      <c r="W453" s="221"/>
      <c r="X453" s="221"/>
      <c r="Y453" s="221"/>
      <c r="Z453" s="221"/>
      <c r="AA453" s="221"/>
      <c r="AB453" s="221"/>
      <c r="AC453" s="221"/>
      <c r="AD453" s="82"/>
      <c r="AE453" s="83"/>
      <c r="AF453" s="83"/>
      <c r="AG453" s="70"/>
      <c r="AH453" s="83"/>
      <c r="AI453" s="82"/>
    </row>
    <row r="454" spans="1:35" ht="15.5" x14ac:dyDescent="0.3">
      <c r="A454" s="66"/>
      <c r="B454" s="1600">
        <v>534127</v>
      </c>
      <c r="C454" s="1601"/>
      <c r="D454" s="1586"/>
      <c r="E454" s="1648"/>
      <c r="F454" s="1649"/>
      <c r="G454" s="1206"/>
      <c r="H454" s="1194">
        <f t="shared" si="43"/>
        <v>0</v>
      </c>
      <c r="I454" s="1195"/>
      <c r="J454" s="1659"/>
      <c r="K454" s="1649"/>
      <c r="L454" s="1196"/>
      <c r="M454" s="1197">
        <f t="shared" si="42"/>
        <v>0</v>
      </c>
      <c r="N454" s="221"/>
      <c r="O454" s="221"/>
      <c r="P454" s="221"/>
      <c r="Q454" s="221"/>
      <c r="R454" s="221"/>
      <c r="S454" s="221"/>
      <c r="T454" s="221"/>
      <c r="U454" s="221"/>
      <c r="V454" s="221"/>
      <c r="W454" s="221"/>
      <c r="X454" s="221"/>
      <c r="Y454" s="221"/>
      <c r="Z454" s="221"/>
      <c r="AA454" s="221"/>
      <c r="AB454" s="221"/>
      <c r="AC454" s="221"/>
      <c r="AD454" s="82"/>
      <c r="AE454" s="83"/>
      <c r="AF454" s="83"/>
      <c r="AG454" s="70"/>
      <c r="AH454" s="83"/>
      <c r="AI454" s="82"/>
    </row>
    <row r="455" spans="1:35" ht="15.5" x14ac:dyDescent="0.3">
      <c r="A455" s="66"/>
      <c r="B455" s="1600">
        <v>534128</v>
      </c>
      <c r="C455" s="1601"/>
      <c r="D455" s="1586"/>
      <c r="E455" s="1648"/>
      <c r="F455" s="1649"/>
      <c r="G455" s="1206"/>
      <c r="H455" s="1194">
        <f t="shared" si="43"/>
        <v>0</v>
      </c>
      <c r="I455" s="1195"/>
      <c r="J455" s="1659"/>
      <c r="K455" s="1649"/>
      <c r="L455" s="1196"/>
      <c r="M455" s="1197">
        <f t="shared" si="42"/>
        <v>0</v>
      </c>
      <c r="N455" s="221"/>
      <c r="O455" s="221"/>
      <c r="P455" s="221"/>
      <c r="Q455" s="221"/>
      <c r="R455" s="221"/>
      <c r="S455" s="221"/>
      <c r="T455" s="221"/>
      <c r="U455" s="221"/>
      <c r="V455" s="221"/>
      <c r="W455" s="221"/>
      <c r="X455" s="221"/>
      <c r="Y455" s="221"/>
      <c r="Z455" s="221"/>
      <c r="AA455" s="221"/>
      <c r="AB455" s="221"/>
      <c r="AC455" s="221"/>
      <c r="AD455" s="82"/>
      <c r="AE455" s="83"/>
      <c r="AF455" s="83"/>
      <c r="AG455" s="70"/>
      <c r="AH455" s="83"/>
      <c r="AI455" s="82"/>
    </row>
    <row r="456" spans="1:35" ht="15.5" x14ac:dyDescent="0.3">
      <c r="A456" s="66"/>
      <c r="B456" s="1673"/>
      <c r="C456" s="1674"/>
      <c r="D456" s="1586"/>
      <c r="E456" s="1587"/>
      <c r="F456" s="1588"/>
      <c r="G456" s="1206"/>
      <c r="H456" s="1194">
        <f t="shared" si="43"/>
        <v>0</v>
      </c>
      <c r="I456" s="1195"/>
      <c r="J456" s="1659"/>
      <c r="K456" s="1660"/>
      <c r="L456" s="1196"/>
      <c r="M456" s="1197">
        <f t="shared" si="42"/>
        <v>0</v>
      </c>
      <c r="N456" s="221"/>
      <c r="O456" s="221"/>
      <c r="P456" s="221"/>
      <c r="Q456" s="221"/>
      <c r="R456" s="221"/>
      <c r="S456" s="221"/>
      <c r="T456" s="221"/>
      <c r="U456" s="221"/>
      <c r="V456" s="221"/>
      <c r="W456" s="221"/>
      <c r="X456" s="221"/>
      <c r="Y456" s="221"/>
      <c r="Z456" s="221"/>
      <c r="AA456" s="221"/>
      <c r="AB456" s="221"/>
      <c r="AC456" s="221"/>
      <c r="AD456" s="82"/>
      <c r="AE456" s="83"/>
      <c r="AF456" s="83"/>
      <c r="AG456" s="70"/>
      <c r="AH456" s="83"/>
      <c r="AI456" s="82"/>
    </row>
    <row r="457" spans="1:35" ht="16" thickBot="1" x14ac:dyDescent="0.35">
      <c r="A457" s="66"/>
      <c r="B457" s="1664"/>
      <c r="C457" s="1665"/>
      <c r="D457" s="1586"/>
      <c r="E457" s="1587"/>
      <c r="F457" s="1588"/>
      <c r="G457" s="1206"/>
      <c r="H457" s="1194">
        <f t="shared" si="43"/>
        <v>0</v>
      </c>
      <c r="I457" s="1195"/>
      <c r="J457" s="1659"/>
      <c r="K457" s="1660"/>
      <c r="L457" s="1196"/>
      <c r="M457" s="1197">
        <f t="shared" si="42"/>
        <v>0</v>
      </c>
      <c r="N457" s="221"/>
      <c r="O457" s="221"/>
      <c r="P457" s="221"/>
      <c r="Q457" s="221"/>
      <c r="R457" s="221"/>
      <c r="S457" s="221"/>
      <c r="T457" s="221"/>
      <c r="U457" s="221"/>
      <c r="V457" s="221"/>
      <c r="W457" s="221"/>
      <c r="X457" s="221"/>
      <c r="Y457" s="221"/>
      <c r="Z457" s="221"/>
      <c r="AA457" s="221"/>
      <c r="AB457" s="221"/>
      <c r="AC457" s="221"/>
      <c r="AD457" s="82"/>
      <c r="AE457" s="83"/>
      <c r="AF457" s="83"/>
      <c r="AG457" s="70"/>
      <c r="AH457" s="83"/>
      <c r="AI457" s="82"/>
    </row>
    <row r="458" spans="1:35" ht="16.5" thickTop="1" thickBot="1" x14ac:dyDescent="0.35">
      <c r="A458" s="66"/>
      <c r="B458" s="1214" t="s">
        <v>116</v>
      </c>
      <c r="C458" s="1215"/>
      <c r="D458" s="1591">
        <f>SUM(D448:F457)</f>
        <v>0</v>
      </c>
      <c r="E458" s="1592"/>
      <c r="F458" s="1593"/>
      <c r="G458" s="1185">
        <f>SUM(G448:G457)</f>
        <v>0</v>
      </c>
      <c r="H458" s="1186">
        <f>SUM(H448:H457)</f>
        <v>0</v>
      </c>
      <c r="I458" s="1195"/>
      <c r="J458" s="1666">
        <f>SUM(J448:K457)</f>
        <v>0</v>
      </c>
      <c r="K458" s="1667"/>
      <c r="L458" s="1188">
        <f>SUM(L448:L457)</f>
        <v>0</v>
      </c>
      <c r="M458" s="1188">
        <f>SUM(M448:M457)</f>
        <v>0</v>
      </c>
      <c r="N458" s="221"/>
      <c r="O458" s="221"/>
      <c r="P458" s="221"/>
      <c r="Q458" s="221"/>
      <c r="R458" s="221"/>
      <c r="S458" s="221"/>
      <c r="T458" s="221"/>
      <c r="U458" s="221"/>
      <c r="V458" s="221"/>
      <c r="W458" s="221"/>
      <c r="X458" s="221"/>
      <c r="Y458" s="221"/>
      <c r="Z458" s="221"/>
      <c r="AA458" s="221"/>
      <c r="AB458" s="221"/>
      <c r="AC458" s="221"/>
      <c r="AD458" s="82"/>
      <c r="AE458" s="83"/>
      <c r="AF458" s="83"/>
      <c r="AG458" s="70"/>
      <c r="AH458" s="83"/>
      <c r="AI458" s="82"/>
    </row>
    <row r="459" spans="1:35" ht="16.5" thickTop="1" thickBot="1" x14ac:dyDescent="0.4">
      <c r="A459" s="66"/>
      <c r="B459" s="1671" t="str">
        <f>$B$69</f>
        <v>31 Desember 2019</v>
      </c>
      <c r="C459" s="1671"/>
      <c r="D459" s="1671"/>
      <c r="E459" s="1671"/>
      <c r="F459" s="1671"/>
      <c r="G459" s="1671"/>
      <c r="H459" s="1671"/>
      <c r="I459" s="230"/>
      <c r="J459" s="1672" t="str">
        <f>$J$69</f>
        <v>31 Desember 2018</v>
      </c>
      <c r="K459" s="1671"/>
      <c r="L459" s="1671"/>
      <c r="M459" s="1671"/>
      <c r="N459" s="221"/>
      <c r="O459" s="221"/>
      <c r="P459" s="221"/>
      <c r="Q459" s="221"/>
      <c r="R459" s="221"/>
      <c r="S459" s="221"/>
      <c r="T459" s="221"/>
      <c r="U459" s="221"/>
      <c r="V459" s="221"/>
      <c r="W459" s="221"/>
      <c r="X459" s="221"/>
      <c r="Y459" s="221"/>
      <c r="Z459" s="221"/>
      <c r="AA459" s="221"/>
      <c r="AB459" s="221"/>
      <c r="AC459" s="221"/>
      <c r="AD459" s="82"/>
      <c r="AE459" s="83"/>
      <c r="AF459" s="83"/>
      <c r="AG459" s="70"/>
      <c r="AH459" s="83"/>
      <c r="AI459" s="82"/>
    </row>
    <row r="460" spans="1:35" ht="20.5" thickTop="1" x14ac:dyDescent="0.3">
      <c r="A460" s="66"/>
      <c r="B460" s="1668" t="s">
        <v>246</v>
      </c>
      <c r="C460" s="1669"/>
      <c r="D460" s="1669"/>
      <c r="E460" s="1669"/>
      <c r="F460" s="1669"/>
      <c r="G460" s="1669"/>
      <c r="H460" s="1669"/>
      <c r="I460" s="1669"/>
      <c r="J460" s="1669"/>
      <c r="K460" s="1669"/>
      <c r="L460" s="1669"/>
      <c r="M460" s="1670"/>
      <c r="N460" s="221"/>
      <c r="O460" s="221"/>
      <c r="P460" s="221"/>
      <c r="Q460" s="221"/>
      <c r="R460" s="221"/>
      <c r="S460" s="221"/>
      <c r="T460" s="221"/>
      <c r="U460" s="221"/>
      <c r="V460" s="221"/>
      <c r="W460" s="221"/>
      <c r="X460" s="221"/>
      <c r="Y460" s="221"/>
      <c r="Z460" s="221"/>
      <c r="AA460" s="221"/>
      <c r="AB460" s="221"/>
      <c r="AC460" s="221"/>
      <c r="AD460" s="82"/>
      <c r="AE460" s="83"/>
      <c r="AF460" s="83"/>
      <c r="AG460" s="70"/>
      <c r="AH460" s="83"/>
      <c r="AI460" s="82"/>
    </row>
    <row r="461" spans="1:35" ht="15.5" x14ac:dyDescent="0.3">
      <c r="A461" s="66"/>
      <c r="B461" s="1710"/>
      <c r="C461" s="1601"/>
      <c r="D461" s="1584" t="s">
        <v>46</v>
      </c>
      <c r="E461" s="1713"/>
      <c r="F461" s="1585"/>
      <c r="G461" s="1189" t="s">
        <v>175</v>
      </c>
      <c r="H461" s="1190" t="s">
        <v>183</v>
      </c>
      <c r="I461" s="1216"/>
      <c r="J461" s="1584" t="s">
        <v>46</v>
      </c>
      <c r="K461" s="1585"/>
      <c r="L461" s="1189" t="s">
        <v>175</v>
      </c>
      <c r="M461" s="1192" t="s">
        <v>183</v>
      </c>
      <c r="N461" s="221"/>
      <c r="O461" s="221"/>
      <c r="P461" s="221"/>
      <c r="Q461" s="221"/>
      <c r="R461" s="221"/>
      <c r="S461" s="221"/>
      <c r="T461" s="221"/>
      <c r="U461" s="221"/>
      <c r="V461" s="221"/>
      <c r="W461" s="221"/>
      <c r="X461" s="221"/>
      <c r="Y461" s="221"/>
      <c r="Z461" s="221"/>
      <c r="AA461" s="221"/>
      <c r="AB461" s="221"/>
      <c r="AC461" s="221"/>
      <c r="AD461" s="82"/>
      <c r="AE461" s="83"/>
      <c r="AF461" s="83"/>
      <c r="AG461" s="70"/>
      <c r="AH461" s="83"/>
      <c r="AI461" s="82"/>
    </row>
    <row r="462" spans="1:35" ht="15.5" x14ac:dyDescent="0.3">
      <c r="A462" s="66"/>
      <c r="B462" s="1600">
        <v>534131</v>
      </c>
      <c r="C462" s="1601"/>
      <c r="D462" s="1586"/>
      <c r="E462" s="1587"/>
      <c r="F462" s="1588"/>
      <c r="G462" s="1202"/>
      <c r="H462" s="1194">
        <f>D462-G462</f>
        <v>0</v>
      </c>
      <c r="I462" s="1195"/>
      <c r="J462" s="1659"/>
      <c r="K462" s="1660"/>
      <c r="L462" s="1196"/>
      <c r="M462" s="1197">
        <f t="shared" ref="M462:M471" si="44">J462-L462</f>
        <v>0</v>
      </c>
      <c r="N462" s="221"/>
      <c r="O462" s="221"/>
      <c r="P462" s="221"/>
      <c r="Q462" s="221"/>
      <c r="R462" s="221"/>
      <c r="S462" s="221"/>
      <c r="T462" s="221"/>
      <c r="U462" s="221"/>
      <c r="V462" s="221"/>
      <c r="W462" s="221"/>
      <c r="X462" s="221"/>
      <c r="Y462" s="221"/>
      <c r="Z462" s="221"/>
      <c r="AA462" s="221"/>
      <c r="AB462" s="221"/>
      <c r="AC462" s="221"/>
      <c r="AD462" s="82"/>
      <c r="AE462" s="83"/>
      <c r="AF462" s="83"/>
      <c r="AG462" s="70"/>
      <c r="AH462" s="83"/>
      <c r="AI462" s="82"/>
    </row>
    <row r="463" spans="1:35" ht="15.5" x14ac:dyDescent="0.3">
      <c r="A463" s="66"/>
      <c r="B463" s="1600">
        <v>534132</v>
      </c>
      <c r="C463" s="1601"/>
      <c r="D463" s="1586"/>
      <c r="E463" s="1587"/>
      <c r="F463" s="1588"/>
      <c r="G463" s="1206"/>
      <c r="H463" s="1194">
        <f t="shared" ref="H463:H471" si="45">D463-G463</f>
        <v>0</v>
      </c>
      <c r="I463" s="1195"/>
      <c r="J463" s="1659"/>
      <c r="K463" s="1660"/>
      <c r="L463" s="1196"/>
      <c r="M463" s="1197">
        <f t="shared" si="44"/>
        <v>0</v>
      </c>
      <c r="N463" s="221"/>
      <c r="O463" s="221"/>
      <c r="P463" s="221"/>
      <c r="Q463" s="221"/>
      <c r="R463" s="221"/>
      <c r="S463" s="221"/>
      <c r="T463" s="221"/>
      <c r="U463" s="221"/>
      <c r="V463" s="221"/>
      <c r="W463" s="221"/>
      <c r="X463" s="221"/>
      <c r="Y463" s="221"/>
      <c r="Z463" s="221"/>
      <c r="AA463" s="221"/>
      <c r="AB463" s="221"/>
      <c r="AC463" s="221"/>
      <c r="AD463" s="82"/>
      <c r="AE463" s="83"/>
      <c r="AF463" s="83"/>
      <c r="AG463" s="70"/>
      <c r="AH463" s="83"/>
      <c r="AI463" s="82"/>
    </row>
    <row r="464" spans="1:35" ht="15.5" x14ac:dyDescent="0.3">
      <c r="A464" s="66"/>
      <c r="B464" s="1600">
        <v>534133</v>
      </c>
      <c r="C464" s="1601"/>
      <c r="D464" s="1586"/>
      <c r="E464" s="1587"/>
      <c r="F464" s="1588"/>
      <c r="G464" s="1206"/>
      <c r="H464" s="1194">
        <f t="shared" si="45"/>
        <v>0</v>
      </c>
      <c r="I464" s="1195"/>
      <c r="J464" s="1659"/>
      <c r="K464" s="1660"/>
      <c r="L464" s="1196"/>
      <c r="M464" s="1197">
        <f t="shared" si="44"/>
        <v>0</v>
      </c>
      <c r="N464" s="221"/>
      <c r="O464" s="221"/>
      <c r="P464" s="221"/>
      <c r="Q464" s="221"/>
      <c r="R464" s="221"/>
      <c r="S464" s="221"/>
      <c r="T464" s="221"/>
      <c r="U464" s="221"/>
      <c r="V464" s="221"/>
      <c r="W464" s="221"/>
      <c r="X464" s="221"/>
      <c r="Y464" s="221"/>
      <c r="Z464" s="221"/>
      <c r="AA464" s="221"/>
      <c r="AB464" s="221"/>
      <c r="AC464" s="221"/>
      <c r="AD464" s="82"/>
      <c r="AE464" s="83"/>
      <c r="AF464" s="83"/>
      <c r="AG464" s="70"/>
      <c r="AH464" s="83"/>
      <c r="AI464" s="82"/>
    </row>
    <row r="465" spans="1:35" ht="15.5" x14ac:dyDescent="0.3">
      <c r="A465" s="66"/>
      <c r="B465" s="1600">
        <v>534134</v>
      </c>
      <c r="C465" s="1601"/>
      <c r="D465" s="1586"/>
      <c r="E465" s="1587"/>
      <c r="F465" s="1588"/>
      <c r="G465" s="1206"/>
      <c r="H465" s="1194">
        <f t="shared" si="45"/>
        <v>0</v>
      </c>
      <c r="I465" s="1195"/>
      <c r="J465" s="1659"/>
      <c r="K465" s="1660"/>
      <c r="L465" s="1196"/>
      <c r="M465" s="1197">
        <f t="shared" si="44"/>
        <v>0</v>
      </c>
      <c r="N465" s="221"/>
      <c r="O465" s="221"/>
      <c r="P465" s="221"/>
      <c r="Q465" s="221"/>
      <c r="R465" s="221"/>
      <c r="S465" s="221"/>
      <c r="T465" s="221"/>
      <c r="U465" s="221"/>
      <c r="V465" s="221"/>
      <c r="W465" s="221"/>
      <c r="X465" s="221"/>
      <c r="Y465" s="221"/>
      <c r="Z465" s="221"/>
      <c r="AA465" s="221"/>
      <c r="AB465" s="221"/>
      <c r="AC465" s="221"/>
      <c r="AD465" s="82"/>
      <c r="AE465" s="83"/>
      <c r="AF465" s="83"/>
      <c r="AG465" s="70"/>
      <c r="AH465" s="83"/>
      <c r="AI465" s="82"/>
    </row>
    <row r="466" spans="1:35" ht="15.5" x14ac:dyDescent="0.3">
      <c r="A466" s="66"/>
      <c r="B466" s="1600">
        <v>534135</v>
      </c>
      <c r="C466" s="1601"/>
      <c r="D466" s="1586"/>
      <c r="E466" s="1648"/>
      <c r="F466" s="1649"/>
      <c r="G466" s="1206"/>
      <c r="H466" s="1194">
        <f t="shared" si="45"/>
        <v>0</v>
      </c>
      <c r="I466" s="1195"/>
      <c r="J466" s="1659"/>
      <c r="K466" s="1649"/>
      <c r="L466" s="1196"/>
      <c r="M466" s="1197">
        <f t="shared" si="44"/>
        <v>0</v>
      </c>
      <c r="N466" s="221"/>
      <c r="O466" s="221"/>
      <c r="P466" s="221"/>
      <c r="Q466" s="221"/>
      <c r="R466" s="221"/>
      <c r="S466" s="221"/>
      <c r="T466" s="221"/>
      <c r="U466" s="221"/>
      <c r="V466" s="221"/>
      <c r="W466" s="221"/>
      <c r="X466" s="221"/>
      <c r="Y466" s="221"/>
      <c r="Z466" s="221"/>
      <c r="AA466" s="221"/>
      <c r="AB466" s="221"/>
      <c r="AC466" s="221"/>
      <c r="AD466" s="82"/>
      <c r="AE466" s="83"/>
      <c r="AF466" s="83"/>
      <c r="AG466" s="70"/>
      <c r="AH466" s="83"/>
      <c r="AI466" s="82"/>
    </row>
    <row r="467" spans="1:35" ht="15.5" x14ac:dyDescent="0.3">
      <c r="A467" s="66"/>
      <c r="B467" s="1600">
        <v>534136</v>
      </c>
      <c r="C467" s="1601"/>
      <c r="D467" s="1586"/>
      <c r="E467" s="1648"/>
      <c r="F467" s="1649"/>
      <c r="G467" s="1206"/>
      <c r="H467" s="1194">
        <f t="shared" si="45"/>
        <v>0</v>
      </c>
      <c r="I467" s="1195"/>
      <c r="J467" s="1659"/>
      <c r="K467" s="1649"/>
      <c r="L467" s="1196"/>
      <c r="M467" s="1197">
        <f t="shared" si="44"/>
        <v>0</v>
      </c>
      <c r="N467" s="221"/>
      <c r="O467" s="221"/>
      <c r="P467" s="221"/>
      <c r="Q467" s="221"/>
      <c r="R467" s="221"/>
      <c r="S467" s="221"/>
      <c r="T467" s="221"/>
      <c r="U467" s="221"/>
      <c r="V467" s="221"/>
      <c r="W467" s="221"/>
      <c r="X467" s="221"/>
      <c r="Y467" s="221"/>
      <c r="Z467" s="221"/>
      <c r="AA467" s="221"/>
      <c r="AB467" s="221"/>
      <c r="AC467" s="221"/>
      <c r="AD467" s="82"/>
      <c r="AE467" s="83"/>
      <c r="AF467" s="83"/>
      <c r="AG467" s="70"/>
      <c r="AH467" s="83"/>
      <c r="AI467" s="82"/>
    </row>
    <row r="468" spans="1:35" ht="15.5" x14ac:dyDescent="0.3">
      <c r="A468" s="66"/>
      <c r="B468" s="1600">
        <v>534137</v>
      </c>
      <c r="C468" s="1601"/>
      <c r="D468" s="1586"/>
      <c r="E468" s="1648"/>
      <c r="F468" s="1649"/>
      <c r="G468" s="1206"/>
      <c r="H468" s="1194">
        <f t="shared" si="45"/>
        <v>0</v>
      </c>
      <c r="I468" s="1195"/>
      <c r="J468" s="1659"/>
      <c r="K468" s="1649"/>
      <c r="L468" s="1196"/>
      <c r="M468" s="1197">
        <f t="shared" si="44"/>
        <v>0</v>
      </c>
      <c r="N468" s="221"/>
      <c r="O468" s="221"/>
      <c r="P468" s="221"/>
      <c r="Q468" s="221"/>
      <c r="R468" s="221"/>
      <c r="S468" s="221"/>
      <c r="T468" s="221"/>
      <c r="U468" s="221"/>
      <c r="V468" s="221"/>
      <c r="W468" s="221"/>
      <c r="X468" s="221"/>
      <c r="Y468" s="221"/>
      <c r="Z468" s="221"/>
      <c r="AA468" s="221"/>
      <c r="AB468" s="221"/>
      <c r="AC468" s="221"/>
      <c r="AD468" s="82"/>
      <c r="AE468" s="83"/>
      <c r="AF468" s="83"/>
      <c r="AG468" s="70"/>
      <c r="AH468" s="83"/>
      <c r="AI468" s="82"/>
    </row>
    <row r="469" spans="1:35" ht="15.5" x14ac:dyDescent="0.3">
      <c r="A469" s="66"/>
      <c r="B469" s="1600">
        <v>534138</v>
      </c>
      <c r="C469" s="1601"/>
      <c r="D469" s="1586"/>
      <c r="E469" s="1648"/>
      <c r="F469" s="1649"/>
      <c r="G469" s="1206"/>
      <c r="H469" s="1194">
        <f t="shared" si="45"/>
        <v>0</v>
      </c>
      <c r="I469" s="1195"/>
      <c r="J469" s="1659"/>
      <c r="K469" s="1649"/>
      <c r="L469" s="1196"/>
      <c r="M469" s="1197">
        <f t="shared" si="44"/>
        <v>0</v>
      </c>
      <c r="N469" s="221"/>
      <c r="O469" s="221"/>
      <c r="P469" s="221"/>
      <c r="Q469" s="221"/>
      <c r="R469" s="221"/>
      <c r="S469" s="221"/>
      <c r="T469" s="221"/>
      <c r="U469" s="221"/>
      <c r="V469" s="221"/>
      <c r="W469" s="221"/>
      <c r="X469" s="221"/>
      <c r="Y469" s="221"/>
      <c r="Z469" s="221"/>
      <c r="AA469" s="221"/>
      <c r="AB469" s="221"/>
      <c r="AC469" s="221"/>
      <c r="AD469" s="82"/>
      <c r="AE469" s="83"/>
      <c r="AF469" s="83"/>
      <c r="AG469" s="70"/>
      <c r="AH469" s="83"/>
      <c r="AI469" s="82"/>
    </row>
    <row r="470" spans="1:35" ht="15.5" x14ac:dyDescent="0.3">
      <c r="A470" s="66"/>
      <c r="B470" s="1673"/>
      <c r="C470" s="1674"/>
      <c r="D470" s="1586"/>
      <c r="E470" s="1587"/>
      <c r="F470" s="1588"/>
      <c r="G470" s="1206"/>
      <c r="H470" s="1194">
        <f t="shared" si="45"/>
        <v>0</v>
      </c>
      <c r="I470" s="1195"/>
      <c r="J470" s="1659"/>
      <c r="K470" s="1660"/>
      <c r="L470" s="1196"/>
      <c r="M470" s="1197">
        <f t="shared" si="44"/>
        <v>0</v>
      </c>
      <c r="N470" s="221"/>
      <c r="O470" s="221"/>
      <c r="P470" s="221"/>
      <c r="Q470" s="221"/>
      <c r="R470" s="221"/>
      <c r="S470" s="221"/>
      <c r="T470" s="221"/>
      <c r="U470" s="221"/>
      <c r="V470" s="221"/>
      <c r="W470" s="221"/>
      <c r="X470" s="221"/>
      <c r="Y470" s="221"/>
      <c r="Z470" s="221"/>
      <c r="AA470" s="221"/>
      <c r="AB470" s="221"/>
      <c r="AC470" s="221"/>
      <c r="AD470" s="82"/>
      <c r="AE470" s="83"/>
      <c r="AF470" s="83"/>
      <c r="AG470" s="70"/>
      <c r="AH470" s="83"/>
      <c r="AI470" s="82"/>
    </row>
    <row r="471" spans="1:35" ht="16" thickBot="1" x14ac:dyDescent="0.35">
      <c r="A471" s="66"/>
      <c r="B471" s="1664"/>
      <c r="C471" s="1665"/>
      <c r="D471" s="1586"/>
      <c r="E471" s="1587"/>
      <c r="F471" s="1588"/>
      <c r="G471" s="1206"/>
      <c r="H471" s="1194">
        <f t="shared" si="45"/>
        <v>0</v>
      </c>
      <c r="I471" s="1195"/>
      <c r="J471" s="1659"/>
      <c r="K471" s="1660"/>
      <c r="L471" s="1196"/>
      <c r="M471" s="1197">
        <f t="shared" si="44"/>
        <v>0</v>
      </c>
      <c r="N471" s="221"/>
      <c r="O471" s="221"/>
      <c r="P471" s="221"/>
      <c r="Q471" s="221"/>
      <c r="R471" s="221"/>
      <c r="S471" s="221"/>
      <c r="T471" s="221"/>
      <c r="U471" s="221"/>
      <c r="V471" s="221"/>
      <c r="W471" s="221"/>
      <c r="X471" s="221"/>
      <c r="Y471" s="221"/>
      <c r="Z471" s="221"/>
      <c r="AA471" s="221"/>
      <c r="AB471" s="221"/>
      <c r="AC471" s="221"/>
      <c r="AD471" s="82"/>
      <c r="AE471" s="83"/>
      <c r="AF471" s="83"/>
      <c r="AG471" s="70"/>
      <c r="AH471" s="83"/>
      <c r="AI471" s="82"/>
    </row>
    <row r="472" spans="1:35" ht="16.5" thickTop="1" thickBot="1" x14ac:dyDescent="0.35">
      <c r="A472" s="66"/>
      <c r="B472" s="1214" t="s">
        <v>116</v>
      </c>
      <c r="C472" s="1215"/>
      <c r="D472" s="1591">
        <f>SUM(D462:F471)</f>
        <v>0</v>
      </c>
      <c r="E472" s="1592"/>
      <c r="F472" s="1593"/>
      <c r="G472" s="1185">
        <f>SUM(G462:G471)</f>
        <v>0</v>
      </c>
      <c r="H472" s="1186">
        <f>SUM(H462:H471)</f>
        <v>0</v>
      </c>
      <c r="I472" s="1195"/>
      <c r="J472" s="1666">
        <f>SUM(J462:K471)</f>
        <v>0</v>
      </c>
      <c r="K472" s="1667"/>
      <c r="L472" s="1188">
        <f>SUM(L462:L471)</f>
        <v>0</v>
      </c>
      <c r="M472" s="1188">
        <f>SUM(M462:M471)</f>
        <v>0</v>
      </c>
      <c r="N472" s="221"/>
      <c r="O472" s="221"/>
      <c r="P472" s="221"/>
      <c r="Q472" s="221"/>
      <c r="R472" s="221"/>
      <c r="S472" s="221"/>
      <c r="T472" s="221"/>
      <c r="U472" s="221"/>
      <c r="V472" s="221"/>
      <c r="W472" s="221"/>
      <c r="X472" s="221"/>
      <c r="Y472" s="221"/>
      <c r="Z472" s="221"/>
      <c r="AA472" s="221"/>
      <c r="AB472" s="221"/>
      <c r="AC472" s="221"/>
      <c r="AD472" s="82"/>
      <c r="AE472" s="83"/>
      <c r="AF472" s="83"/>
      <c r="AG472" s="70"/>
      <c r="AH472" s="83"/>
      <c r="AI472" s="82"/>
    </row>
    <row r="473" spans="1:35" ht="16.5" thickTop="1" thickBot="1" x14ac:dyDescent="0.4">
      <c r="A473" s="66"/>
      <c r="B473" s="1671" t="str">
        <f>$B$69</f>
        <v>31 Desember 2019</v>
      </c>
      <c r="C473" s="1671"/>
      <c r="D473" s="1671"/>
      <c r="E473" s="1671"/>
      <c r="F473" s="1671"/>
      <c r="G473" s="1671"/>
      <c r="H473" s="1671"/>
      <c r="I473" s="230"/>
      <c r="J473" s="1672" t="str">
        <f>$J$69</f>
        <v>31 Desember 2018</v>
      </c>
      <c r="K473" s="1671"/>
      <c r="L473" s="1671"/>
      <c r="M473" s="1671"/>
      <c r="N473" s="221"/>
      <c r="O473" s="221"/>
      <c r="P473" s="221"/>
      <c r="Q473" s="221"/>
      <c r="R473" s="221"/>
      <c r="S473" s="221"/>
      <c r="T473" s="221"/>
      <c r="U473" s="221"/>
      <c r="V473" s="221"/>
      <c r="W473" s="221"/>
      <c r="X473" s="221"/>
      <c r="Y473" s="221"/>
      <c r="Z473" s="221"/>
      <c r="AA473" s="221"/>
      <c r="AB473" s="221"/>
      <c r="AC473" s="221"/>
      <c r="AD473" s="82"/>
      <c r="AE473" s="83"/>
      <c r="AF473" s="83"/>
      <c r="AG473" s="70"/>
      <c r="AH473" s="83"/>
      <c r="AI473" s="82"/>
    </row>
    <row r="474" spans="1:35" ht="20.5" thickTop="1" x14ac:dyDescent="0.3">
      <c r="A474" s="66"/>
      <c r="B474" s="1668" t="s">
        <v>247</v>
      </c>
      <c r="C474" s="1669"/>
      <c r="D474" s="1669"/>
      <c r="E474" s="1669"/>
      <c r="F474" s="1669"/>
      <c r="G474" s="1669"/>
      <c r="H474" s="1669"/>
      <c r="I474" s="1669"/>
      <c r="J474" s="1669"/>
      <c r="K474" s="1669"/>
      <c r="L474" s="1669"/>
      <c r="M474" s="1670"/>
      <c r="N474" s="221"/>
      <c r="O474" s="221"/>
      <c r="P474" s="221"/>
      <c r="Q474" s="221"/>
      <c r="R474" s="221"/>
      <c r="S474" s="221"/>
      <c r="T474" s="221"/>
      <c r="U474" s="221"/>
      <c r="V474" s="221"/>
      <c r="W474" s="221"/>
      <c r="X474" s="221"/>
      <c r="Y474" s="221"/>
      <c r="Z474" s="221"/>
      <c r="AA474" s="221"/>
      <c r="AB474" s="221"/>
      <c r="AC474" s="221"/>
      <c r="AD474" s="82"/>
      <c r="AE474" s="83"/>
      <c r="AF474" s="83"/>
      <c r="AG474" s="70"/>
      <c r="AH474" s="83"/>
      <c r="AI474" s="82"/>
    </row>
    <row r="475" spans="1:35" ht="15.5" x14ac:dyDescent="0.3">
      <c r="A475" s="66"/>
      <c r="B475" s="1710"/>
      <c r="C475" s="1601"/>
      <c r="D475" s="1584" t="s">
        <v>46</v>
      </c>
      <c r="E475" s="1713"/>
      <c r="F475" s="1585"/>
      <c r="G475" s="1189" t="s">
        <v>175</v>
      </c>
      <c r="H475" s="1190" t="s">
        <v>183</v>
      </c>
      <c r="I475" s="1216"/>
      <c r="J475" s="1584" t="s">
        <v>46</v>
      </c>
      <c r="K475" s="1585"/>
      <c r="L475" s="1189" t="s">
        <v>175</v>
      </c>
      <c r="M475" s="1192" t="s">
        <v>183</v>
      </c>
      <c r="N475" s="221"/>
      <c r="O475" s="221"/>
      <c r="P475" s="221"/>
      <c r="Q475" s="221"/>
      <c r="R475" s="221"/>
      <c r="S475" s="221"/>
      <c r="T475" s="221"/>
      <c r="U475" s="221"/>
      <c r="V475" s="221"/>
      <c r="W475" s="221"/>
      <c r="X475" s="221"/>
      <c r="Y475" s="221"/>
      <c r="Z475" s="221"/>
      <c r="AA475" s="221"/>
      <c r="AB475" s="221"/>
      <c r="AC475" s="221"/>
      <c r="AD475" s="82"/>
      <c r="AE475" s="83"/>
      <c r="AF475" s="83"/>
      <c r="AG475" s="70"/>
      <c r="AH475" s="83"/>
      <c r="AI475" s="82"/>
    </row>
    <row r="476" spans="1:35" ht="15.5" x14ac:dyDescent="0.3">
      <c r="A476" s="66"/>
      <c r="B476" s="1600">
        <v>536111</v>
      </c>
      <c r="C476" s="1601"/>
      <c r="D476" s="1586"/>
      <c r="E476" s="1587"/>
      <c r="F476" s="1588"/>
      <c r="G476" s="1202"/>
      <c r="H476" s="1194">
        <f>D476-G476</f>
        <v>0</v>
      </c>
      <c r="I476" s="1195"/>
      <c r="J476" s="1659"/>
      <c r="K476" s="1660"/>
      <c r="L476" s="1196"/>
      <c r="M476" s="1197">
        <f>J476-L476</f>
        <v>0</v>
      </c>
      <c r="N476" s="221"/>
      <c r="O476" s="221"/>
      <c r="P476" s="221"/>
      <c r="Q476" s="221"/>
      <c r="R476" s="221"/>
      <c r="S476" s="221"/>
      <c r="T476" s="221"/>
      <c r="U476" s="221"/>
      <c r="V476" s="221"/>
      <c r="W476" s="221"/>
      <c r="X476" s="221"/>
      <c r="Y476" s="221"/>
      <c r="Z476" s="221"/>
      <c r="AA476" s="221"/>
      <c r="AB476" s="221"/>
      <c r="AC476" s="221"/>
      <c r="AD476" s="82"/>
      <c r="AE476" s="83"/>
      <c r="AF476" s="83"/>
      <c r="AG476" s="70"/>
      <c r="AH476" s="83"/>
      <c r="AI476" s="82"/>
    </row>
    <row r="477" spans="1:35" ht="15.5" x14ac:dyDescent="0.3">
      <c r="A477" s="66"/>
      <c r="B477" s="1600">
        <v>536121</v>
      </c>
      <c r="C477" s="1601"/>
      <c r="D477" s="1586"/>
      <c r="E477" s="1587"/>
      <c r="F477" s="1588"/>
      <c r="G477" s="1202"/>
      <c r="H477" s="1194">
        <f>D477-G477</f>
        <v>0</v>
      </c>
      <c r="I477" s="1195"/>
      <c r="J477" s="1659"/>
      <c r="K477" s="1660"/>
      <c r="L477" s="1196"/>
      <c r="M477" s="1197">
        <f>J477-L477</f>
        <v>0</v>
      </c>
      <c r="N477" s="221"/>
      <c r="O477" s="221"/>
      <c r="P477" s="221"/>
      <c r="Q477" s="221"/>
      <c r="R477" s="221"/>
      <c r="S477" s="221"/>
      <c r="T477" s="221"/>
      <c r="U477" s="221"/>
      <c r="V477" s="221"/>
      <c r="W477" s="221"/>
      <c r="X477" s="221"/>
      <c r="Y477" s="221"/>
      <c r="Z477" s="221"/>
      <c r="AA477" s="221"/>
      <c r="AB477" s="221"/>
      <c r="AC477" s="221"/>
      <c r="AD477" s="82"/>
      <c r="AE477" s="83"/>
      <c r="AF477" s="83"/>
      <c r="AG477" s="70"/>
      <c r="AH477" s="83"/>
      <c r="AI477" s="82"/>
    </row>
    <row r="478" spans="1:35" ht="15.5" x14ac:dyDescent="0.3">
      <c r="A478" s="66"/>
      <c r="B478" s="1600">
        <v>536211</v>
      </c>
      <c r="C478" s="1601"/>
      <c r="D478" s="1586"/>
      <c r="E478" s="1587"/>
      <c r="F478" s="1588"/>
      <c r="G478" s="1202"/>
      <c r="H478" s="1194">
        <f>D478-G478</f>
        <v>0</v>
      </c>
      <c r="I478" s="1195"/>
      <c r="J478" s="1659"/>
      <c r="K478" s="1660"/>
      <c r="L478" s="1196"/>
      <c r="M478" s="1197">
        <f>J478-L478</f>
        <v>0</v>
      </c>
      <c r="N478" s="221"/>
      <c r="O478" s="221"/>
      <c r="P478" s="221"/>
      <c r="Q478" s="221"/>
      <c r="R478" s="221"/>
      <c r="S478" s="221"/>
      <c r="T478" s="221"/>
      <c r="U478" s="221"/>
      <c r="V478" s="221"/>
      <c r="W478" s="221"/>
      <c r="X478" s="221"/>
      <c r="Y478" s="221"/>
      <c r="Z478" s="221"/>
      <c r="AA478" s="221"/>
      <c r="AB478" s="221"/>
      <c r="AC478" s="221"/>
      <c r="AD478" s="82"/>
      <c r="AE478" s="83"/>
      <c r="AF478" s="83"/>
      <c r="AG478" s="70"/>
      <c r="AH478" s="83"/>
      <c r="AI478" s="82"/>
    </row>
    <row r="479" spans="1:35" ht="15.5" x14ac:dyDescent="0.3">
      <c r="A479" s="66"/>
      <c r="B479" s="1673"/>
      <c r="C479" s="1674"/>
      <c r="D479" s="1586"/>
      <c r="E479" s="1587"/>
      <c r="F479" s="1588"/>
      <c r="G479" s="1206"/>
      <c r="H479" s="1194">
        <f>D479-G479</f>
        <v>0</v>
      </c>
      <c r="I479" s="1195"/>
      <c r="J479" s="1659"/>
      <c r="K479" s="1660"/>
      <c r="L479" s="1196"/>
      <c r="M479" s="1197">
        <f>J479-L479</f>
        <v>0</v>
      </c>
      <c r="N479" s="221"/>
      <c r="O479" s="221"/>
      <c r="P479" s="221"/>
      <c r="Q479" s="221"/>
      <c r="R479" s="221"/>
      <c r="S479" s="221"/>
      <c r="T479" s="221"/>
      <c r="U479" s="221"/>
      <c r="V479" s="221"/>
      <c r="W479" s="221"/>
      <c r="X479" s="221"/>
      <c r="Y479" s="221"/>
      <c r="Z479" s="221"/>
      <c r="AA479" s="221"/>
      <c r="AB479" s="221"/>
      <c r="AC479" s="221"/>
      <c r="AD479" s="82"/>
      <c r="AE479" s="83"/>
      <c r="AF479" s="83"/>
      <c r="AG479" s="70"/>
      <c r="AH479" s="83"/>
      <c r="AI479" s="82"/>
    </row>
    <row r="480" spans="1:35" ht="16" thickBot="1" x14ac:dyDescent="0.35">
      <c r="A480" s="66"/>
      <c r="B480" s="1664"/>
      <c r="C480" s="1665"/>
      <c r="D480" s="1586"/>
      <c r="E480" s="1587"/>
      <c r="F480" s="1588"/>
      <c r="G480" s="1206"/>
      <c r="H480" s="1194">
        <f>D480-G480</f>
        <v>0</v>
      </c>
      <c r="I480" s="1195"/>
      <c r="J480" s="1659"/>
      <c r="K480" s="1660"/>
      <c r="L480" s="1196"/>
      <c r="M480" s="1197">
        <f>J480-L480</f>
        <v>0</v>
      </c>
      <c r="N480" s="221"/>
      <c r="O480" s="221"/>
      <c r="P480" s="221"/>
      <c r="Q480" s="221"/>
      <c r="R480" s="221"/>
      <c r="S480" s="221"/>
      <c r="T480" s="221"/>
      <c r="U480" s="221"/>
      <c r="V480" s="221"/>
      <c r="W480" s="221"/>
      <c r="X480" s="221"/>
      <c r="Y480" s="221"/>
      <c r="Z480" s="221"/>
      <c r="AA480" s="221"/>
      <c r="AB480" s="221"/>
      <c r="AC480" s="221"/>
      <c r="AD480" s="82"/>
      <c r="AE480" s="83"/>
      <c r="AF480" s="83"/>
      <c r="AG480" s="70"/>
      <c r="AH480" s="83"/>
      <c r="AI480" s="82"/>
    </row>
    <row r="481" spans="1:35" ht="16.5" thickTop="1" thickBot="1" x14ac:dyDescent="0.35">
      <c r="A481" s="66"/>
      <c r="B481" s="1214" t="s">
        <v>116</v>
      </c>
      <c r="C481" s="1215"/>
      <c r="D481" s="1591">
        <f>SUM(D476:F480)</f>
        <v>0</v>
      </c>
      <c r="E481" s="1592"/>
      <c r="F481" s="1593"/>
      <c r="G481" s="1185">
        <f>SUM(G476:G480)</f>
        <v>0</v>
      </c>
      <c r="H481" s="1186">
        <f>SUM(H476:H480)</f>
        <v>0</v>
      </c>
      <c r="I481" s="1195"/>
      <c r="J481" s="1666">
        <f>SUM(J476:K480)</f>
        <v>0</v>
      </c>
      <c r="K481" s="1667"/>
      <c r="L481" s="1188">
        <f>SUM(L476:L480)</f>
        <v>0</v>
      </c>
      <c r="M481" s="1188">
        <f>SUM(M476:M480)</f>
        <v>0</v>
      </c>
      <c r="N481" s="221"/>
      <c r="O481" s="221"/>
      <c r="P481" s="221"/>
      <c r="Q481" s="221"/>
      <c r="R481" s="221"/>
      <c r="S481" s="221"/>
      <c r="T481" s="221"/>
      <c r="U481" s="221"/>
      <c r="V481" s="221"/>
      <c r="W481" s="221"/>
      <c r="X481" s="221"/>
      <c r="Y481" s="221"/>
      <c r="Z481" s="221"/>
      <c r="AA481" s="221"/>
      <c r="AB481" s="221"/>
      <c r="AC481" s="221"/>
      <c r="AD481" s="82"/>
      <c r="AE481" s="83"/>
      <c r="AF481" s="83"/>
      <c r="AG481" s="70"/>
      <c r="AH481" s="83"/>
      <c r="AI481" s="82"/>
    </row>
    <row r="482" spans="1:35" ht="16.5" thickTop="1" thickBot="1" x14ac:dyDescent="0.4">
      <c r="A482" s="66"/>
      <c r="B482" s="1671" t="str">
        <f>$B$69</f>
        <v>31 Desember 2019</v>
      </c>
      <c r="C482" s="1671"/>
      <c r="D482" s="1671"/>
      <c r="E482" s="1671"/>
      <c r="F482" s="1671"/>
      <c r="G482" s="1671"/>
      <c r="H482" s="1671"/>
      <c r="I482" s="230"/>
      <c r="J482" s="1672" t="str">
        <f>$J$69</f>
        <v>31 Desember 2018</v>
      </c>
      <c r="K482" s="1671"/>
      <c r="L482" s="1671"/>
      <c r="M482" s="1671"/>
      <c r="N482" s="221"/>
      <c r="O482" s="221"/>
      <c r="P482" s="221"/>
      <c r="Q482" s="221"/>
      <c r="R482" s="221"/>
      <c r="S482" s="221"/>
      <c r="T482" s="221"/>
      <c r="U482" s="221"/>
      <c r="V482" s="221"/>
      <c r="W482" s="221"/>
      <c r="X482" s="221"/>
      <c r="Y482" s="221"/>
      <c r="Z482" s="221"/>
      <c r="AA482" s="221"/>
      <c r="AB482" s="221"/>
      <c r="AC482" s="221"/>
      <c r="AD482" s="82"/>
      <c r="AE482" s="83"/>
      <c r="AF482" s="83"/>
      <c r="AG482" s="70"/>
      <c r="AH482" s="83"/>
      <c r="AI482" s="82"/>
    </row>
    <row r="483" spans="1:35" ht="20.5" thickTop="1" x14ac:dyDescent="0.3">
      <c r="A483" s="66"/>
      <c r="B483" s="1668" t="s">
        <v>248</v>
      </c>
      <c r="C483" s="1669"/>
      <c r="D483" s="1669"/>
      <c r="E483" s="1669"/>
      <c r="F483" s="1669"/>
      <c r="G483" s="1669"/>
      <c r="H483" s="1669"/>
      <c r="I483" s="1669"/>
      <c r="J483" s="1669"/>
      <c r="K483" s="1669"/>
      <c r="L483" s="1669"/>
      <c r="M483" s="1670"/>
      <c r="N483" s="221"/>
      <c r="O483" s="221"/>
      <c r="P483" s="221"/>
      <c r="Q483" s="221"/>
      <c r="R483" s="221"/>
      <c r="S483" s="221"/>
      <c r="T483" s="221"/>
      <c r="U483" s="221"/>
      <c r="V483" s="221"/>
      <c r="W483" s="221"/>
      <c r="X483" s="221"/>
      <c r="Y483" s="221"/>
      <c r="Z483" s="221"/>
      <c r="AA483" s="221"/>
      <c r="AB483" s="221"/>
      <c r="AC483" s="221"/>
      <c r="AD483" s="82"/>
      <c r="AE483" s="83"/>
      <c r="AF483" s="83"/>
      <c r="AG483" s="70"/>
      <c r="AH483" s="83"/>
      <c r="AI483" s="82"/>
    </row>
    <row r="484" spans="1:35" ht="15.5" x14ac:dyDescent="0.3">
      <c r="A484" s="66"/>
      <c r="B484" s="1710"/>
      <c r="C484" s="1601"/>
      <c r="D484" s="1584" t="s">
        <v>46</v>
      </c>
      <c r="E484" s="1713"/>
      <c r="F484" s="1585"/>
      <c r="G484" s="1189" t="s">
        <v>175</v>
      </c>
      <c r="H484" s="1190" t="s">
        <v>183</v>
      </c>
      <c r="I484" s="1216"/>
      <c r="J484" s="1584" t="s">
        <v>46</v>
      </c>
      <c r="K484" s="1585"/>
      <c r="L484" s="1189" t="s">
        <v>175</v>
      </c>
      <c r="M484" s="1192" t="s">
        <v>183</v>
      </c>
      <c r="N484" s="221"/>
      <c r="O484" s="221"/>
      <c r="P484" s="221"/>
      <c r="Q484" s="221"/>
      <c r="R484" s="221"/>
      <c r="S484" s="221"/>
      <c r="T484" s="221"/>
      <c r="U484" s="221"/>
      <c r="V484" s="221"/>
      <c r="W484" s="221"/>
      <c r="X484" s="221"/>
      <c r="Y484" s="221"/>
      <c r="Z484" s="221"/>
      <c r="AA484" s="221"/>
      <c r="AB484" s="221"/>
      <c r="AC484" s="221"/>
      <c r="AD484" s="82"/>
      <c r="AE484" s="83"/>
      <c r="AF484" s="83"/>
      <c r="AG484" s="70"/>
      <c r="AH484" s="83"/>
      <c r="AI484" s="82"/>
    </row>
    <row r="485" spans="1:35" ht="15.5" x14ac:dyDescent="0.3">
      <c r="A485" s="66"/>
      <c r="B485" s="1600" t="s">
        <v>1661</v>
      </c>
      <c r="C485" s="1601"/>
      <c r="D485" s="1586"/>
      <c r="E485" s="1587"/>
      <c r="F485" s="1588"/>
      <c r="G485" s="1202"/>
      <c r="H485" s="1194">
        <f>D485-G485</f>
        <v>0</v>
      </c>
      <c r="I485" s="1195"/>
      <c r="J485" s="1659"/>
      <c r="K485" s="1660"/>
      <c r="L485" s="1196"/>
      <c r="M485" s="1197">
        <f>J485-L485</f>
        <v>0</v>
      </c>
      <c r="N485" s="221"/>
      <c r="O485" s="221"/>
      <c r="P485" s="221"/>
      <c r="Q485" s="221"/>
      <c r="R485" s="221"/>
      <c r="S485" s="221"/>
      <c r="T485" s="221"/>
      <c r="U485" s="221"/>
      <c r="V485" s="221"/>
      <c r="W485" s="221"/>
      <c r="X485" s="221"/>
      <c r="Y485" s="221"/>
      <c r="Z485" s="221"/>
      <c r="AA485" s="221"/>
      <c r="AB485" s="221"/>
      <c r="AC485" s="221"/>
      <c r="AD485" s="82"/>
      <c r="AE485" s="83"/>
      <c r="AF485" s="83"/>
      <c r="AG485" s="70"/>
      <c r="AH485" s="83"/>
      <c r="AI485" s="82"/>
    </row>
    <row r="486" spans="1:35" ht="15.5" x14ac:dyDescent="0.3">
      <c r="A486" s="66"/>
      <c r="B486" s="1600" t="s">
        <v>1662</v>
      </c>
      <c r="C486" s="1601"/>
      <c r="D486" s="1586"/>
      <c r="E486" s="1587"/>
      <c r="F486" s="1588"/>
      <c r="G486" s="1202"/>
      <c r="H486" s="1194">
        <f t="shared" ref="H486:H491" si="46">D486-G486</f>
        <v>0</v>
      </c>
      <c r="I486" s="1195"/>
      <c r="J486" s="1659"/>
      <c r="K486" s="1660"/>
      <c r="L486" s="1196"/>
      <c r="M486" s="1197">
        <f t="shared" ref="M486:M491" si="47">J486-L486</f>
        <v>0</v>
      </c>
      <c r="N486" s="221"/>
      <c r="O486" s="221"/>
      <c r="P486" s="221"/>
      <c r="Q486" s="221"/>
      <c r="R486" s="221"/>
      <c r="S486" s="221"/>
      <c r="T486" s="221"/>
      <c r="U486" s="221"/>
      <c r="V486" s="221"/>
      <c r="W486" s="221"/>
      <c r="X486" s="221"/>
      <c r="Y486" s="221"/>
      <c r="Z486" s="221"/>
      <c r="AA486" s="221"/>
      <c r="AB486" s="221"/>
      <c r="AC486" s="221"/>
      <c r="AD486" s="82"/>
      <c r="AE486" s="83"/>
      <c r="AF486" s="83"/>
      <c r="AG486" s="70"/>
      <c r="AH486" s="83"/>
      <c r="AI486" s="82"/>
    </row>
    <row r="487" spans="1:35" ht="15.5" x14ac:dyDescent="0.3">
      <c r="A487" s="66"/>
      <c r="B487" s="1600" t="s">
        <v>1663</v>
      </c>
      <c r="C487" s="1601"/>
      <c r="D487" s="1586"/>
      <c r="E487" s="1587"/>
      <c r="F487" s="1588"/>
      <c r="G487" s="1202"/>
      <c r="H487" s="1194">
        <f t="shared" si="46"/>
        <v>0</v>
      </c>
      <c r="I487" s="1195"/>
      <c r="J487" s="1659"/>
      <c r="K487" s="1660"/>
      <c r="L487" s="1196"/>
      <c r="M487" s="1197">
        <f t="shared" si="47"/>
        <v>0</v>
      </c>
      <c r="N487" s="221"/>
      <c r="O487" s="221"/>
      <c r="P487" s="221"/>
      <c r="Q487" s="221"/>
      <c r="R487" s="221"/>
      <c r="S487" s="221"/>
      <c r="T487" s="221"/>
      <c r="U487" s="221"/>
      <c r="V487" s="221"/>
      <c r="W487" s="221"/>
      <c r="X487" s="221"/>
      <c r="Y487" s="221"/>
      <c r="Z487" s="221"/>
      <c r="AA487" s="221"/>
      <c r="AB487" s="221"/>
      <c r="AC487" s="221"/>
      <c r="AD487" s="82"/>
      <c r="AE487" s="83"/>
      <c r="AF487" s="83"/>
      <c r="AG487" s="70"/>
      <c r="AH487" s="83"/>
      <c r="AI487" s="82"/>
    </row>
    <row r="488" spans="1:35" ht="15.5" x14ac:dyDescent="0.3">
      <c r="A488" s="66"/>
      <c r="B488" s="1600" t="s">
        <v>1664</v>
      </c>
      <c r="C488" s="1601"/>
      <c r="D488" s="1586"/>
      <c r="E488" s="1587"/>
      <c r="F488" s="1588"/>
      <c r="G488" s="1202"/>
      <c r="H488" s="1194">
        <f t="shared" si="46"/>
        <v>0</v>
      </c>
      <c r="I488" s="1195"/>
      <c r="J488" s="1659"/>
      <c r="K488" s="1660"/>
      <c r="L488" s="1196"/>
      <c r="M488" s="1197">
        <f t="shared" si="47"/>
        <v>0</v>
      </c>
      <c r="N488" s="221"/>
      <c r="O488" s="221"/>
      <c r="P488" s="221"/>
      <c r="Q488" s="221"/>
      <c r="R488" s="221"/>
      <c r="S488" s="221"/>
      <c r="T488" s="221"/>
      <c r="U488" s="221"/>
      <c r="V488" s="221"/>
      <c r="W488" s="221"/>
      <c r="X488" s="221"/>
      <c r="Y488" s="221"/>
      <c r="Z488" s="221"/>
      <c r="AA488" s="221"/>
      <c r="AB488" s="221"/>
      <c r="AC488" s="221"/>
      <c r="AD488" s="82"/>
      <c r="AE488" s="83"/>
      <c r="AF488" s="83"/>
      <c r="AG488" s="70"/>
      <c r="AH488" s="83"/>
      <c r="AI488" s="82"/>
    </row>
    <row r="489" spans="1:35" ht="15.5" x14ac:dyDescent="0.3">
      <c r="A489" s="66"/>
      <c r="B489" s="1600" t="s">
        <v>1665</v>
      </c>
      <c r="C489" s="1601"/>
      <c r="D489" s="1586"/>
      <c r="E489" s="1587"/>
      <c r="F489" s="1588"/>
      <c r="G489" s="1202"/>
      <c r="H489" s="1194">
        <f t="shared" si="46"/>
        <v>0</v>
      </c>
      <c r="I489" s="1195"/>
      <c r="J489" s="1659"/>
      <c r="K489" s="1660"/>
      <c r="L489" s="1196"/>
      <c r="M489" s="1197">
        <f t="shared" si="47"/>
        <v>0</v>
      </c>
      <c r="N489" s="221"/>
      <c r="O489" s="221"/>
      <c r="P489" s="221"/>
      <c r="Q489" s="221"/>
      <c r="R489" s="221"/>
      <c r="S489" s="221"/>
      <c r="T489" s="221"/>
      <c r="U489" s="221"/>
      <c r="V489" s="221"/>
      <c r="W489" s="221"/>
      <c r="X489" s="221"/>
      <c r="Y489" s="221"/>
      <c r="Z489" s="221"/>
      <c r="AA489" s="221"/>
      <c r="AB489" s="221"/>
      <c r="AC489" s="221"/>
      <c r="AD489" s="82"/>
      <c r="AE489" s="83"/>
      <c r="AF489" s="83"/>
      <c r="AG489" s="70"/>
      <c r="AH489" s="83"/>
      <c r="AI489" s="82"/>
    </row>
    <row r="490" spans="1:35" ht="15.5" x14ac:dyDescent="0.3">
      <c r="A490" s="66"/>
      <c r="B490" s="1673"/>
      <c r="C490" s="1674"/>
      <c r="D490" s="1586"/>
      <c r="E490" s="1587"/>
      <c r="F490" s="1588"/>
      <c r="G490" s="1202"/>
      <c r="H490" s="1194">
        <f t="shared" si="46"/>
        <v>0</v>
      </c>
      <c r="I490" s="1195"/>
      <c r="J490" s="1659"/>
      <c r="K490" s="1660"/>
      <c r="L490" s="1196"/>
      <c r="M490" s="1197">
        <f t="shared" si="47"/>
        <v>0</v>
      </c>
      <c r="N490" s="221"/>
      <c r="O490" s="221"/>
      <c r="P490" s="221"/>
      <c r="Q490" s="221"/>
      <c r="R490" s="221"/>
      <c r="S490" s="221"/>
      <c r="T490" s="221"/>
      <c r="U490" s="221"/>
      <c r="V490" s="221"/>
      <c r="W490" s="221"/>
      <c r="X490" s="221"/>
      <c r="Y490" s="221"/>
      <c r="Z490" s="221"/>
      <c r="AA490" s="221"/>
      <c r="AB490" s="221"/>
      <c r="AC490" s="221"/>
      <c r="AD490" s="82"/>
      <c r="AE490" s="83"/>
      <c r="AF490" s="83"/>
      <c r="AG490" s="70"/>
      <c r="AH490" s="83"/>
      <c r="AI490" s="82"/>
    </row>
    <row r="491" spans="1:35" ht="16" thickBot="1" x14ac:dyDescent="0.35">
      <c r="A491" s="66"/>
      <c r="B491" s="1664"/>
      <c r="C491" s="1665"/>
      <c r="D491" s="1586"/>
      <c r="E491" s="1587"/>
      <c r="F491" s="1588"/>
      <c r="G491" s="1202"/>
      <c r="H491" s="1194">
        <f t="shared" si="46"/>
        <v>0</v>
      </c>
      <c r="I491" s="1195"/>
      <c r="J491" s="1659"/>
      <c r="K491" s="1660"/>
      <c r="L491" s="1196"/>
      <c r="M491" s="1197">
        <f t="shared" si="47"/>
        <v>0</v>
      </c>
      <c r="N491" s="221"/>
      <c r="O491" s="221"/>
      <c r="P491" s="221"/>
      <c r="Q491" s="221"/>
      <c r="R491" s="221"/>
      <c r="S491" s="221"/>
      <c r="T491" s="221"/>
      <c r="U491" s="221"/>
      <c r="V491" s="221"/>
      <c r="W491" s="221"/>
      <c r="X491" s="221"/>
      <c r="Y491" s="221"/>
      <c r="Z491" s="221"/>
      <c r="AA491" s="221"/>
      <c r="AB491" s="221"/>
      <c r="AC491" s="221"/>
      <c r="AD491" s="82"/>
      <c r="AE491" s="83"/>
      <c r="AF491" s="83"/>
      <c r="AG491" s="70"/>
      <c r="AH491" s="83"/>
      <c r="AI491" s="82"/>
    </row>
    <row r="492" spans="1:35" ht="16.5" thickTop="1" thickBot="1" x14ac:dyDescent="0.35">
      <c r="A492" s="66"/>
      <c r="B492" s="1214" t="s">
        <v>116</v>
      </c>
      <c r="C492" s="1215"/>
      <c r="D492" s="1591">
        <f>SUM(D485:F491)</f>
        <v>0</v>
      </c>
      <c r="E492" s="1592"/>
      <c r="F492" s="1593"/>
      <c r="G492" s="1185">
        <f>SUM(G485:G491)</f>
        <v>0</v>
      </c>
      <c r="H492" s="1186">
        <f>SUM(H485:H491)</f>
        <v>0</v>
      </c>
      <c r="I492" s="1195"/>
      <c r="J492" s="1666">
        <f>SUM(J485:K491)</f>
        <v>0</v>
      </c>
      <c r="K492" s="1667"/>
      <c r="L492" s="1188">
        <f>SUM(L485:L491)</f>
        <v>0</v>
      </c>
      <c r="M492" s="1188">
        <f>SUM(M485:M491)</f>
        <v>0</v>
      </c>
      <c r="N492" s="221"/>
      <c r="O492" s="221"/>
      <c r="P492" s="221"/>
      <c r="Q492" s="221"/>
      <c r="R492" s="221"/>
      <c r="S492" s="221"/>
      <c r="T492" s="221"/>
      <c r="U492" s="221"/>
      <c r="V492" s="221"/>
      <c r="W492" s="221"/>
      <c r="X492" s="221"/>
      <c r="Y492" s="221"/>
      <c r="Z492" s="221"/>
      <c r="AA492" s="221"/>
      <c r="AB492" s="221"/>
      <c r="AC492" s="221"/>
      <c r="AD492" s="82"/>
      <c r="AE492" s="83"/>
      <c r="AF492" s="83"/>
      <c r="AG492" s="70"/>
      <c r="AH492" s="83"/>
      <c r="AI492" s="82"/>
    </row>
    <row r="493" spans="1:35" ht="16.5" thickTop="1" thickBot="1" x14ac:dyDescent="0.4">
      <c r="A493" s="66"/>
      <c r="B493" s="1671" t="str">
        <f>$B$69</f>
        <v>31 Desember 2019</v>
      </c>
      <c r="C493" s="1671"/>
      <c r="D493" s="1671"/>
      <c r="E493" s="1671"/>
      <c r="F493" s="1671"/>
      <c r="G493" s="1671"/>
      <c r="H493" s="1671"/>
      <c r="I493" s="230"/>
      <c r="J493" s="1672" t="str">
        <f>$J$69</f>
        <v>31 Desember 2018</v>
      </c>
      <c r="K493" s="1671"/>
      <c r="L493" s="1671"/>
      <c r="M493" s="1671"/>
      <c r="N493" s="221"/>
      <c r="O493" s="221"/>
      <c r="P493" s="221"/>
      <c r="Q493" s="221"/>
      <c r="R493" s="221"/>
      <c r="S493" s="221"/>
      <c r="T493" s="221"/>
      <c r="U493" s="221"/>
      <c r="V493" s="221"/>
      <c r="W493" s="221"/>
      <c r="X493" s="221"/>
      <c r="Y493" s="221"/>
      <c r="Z493" s="221"/>
      <c r="AA493" s="221"/>
      <c r="AB493" s="221"/>
      <c r="AC493" s="221"/>
      <c r="AD493" s="82"/>
      <c r="AE493" s="83"/>
      <c r="AF493" s="83"/>
      <c r="AG493" s="70"/>
      <c r="AH493" s="83"/>
      <c r="AI493" s="82"/>
    </row>
    <row r="494" spans="1:35" ht="20.5" thickTop="1" x14ac:dyDescent="0.3">
      <c r="A494" s="66"/>
      <c r="B494" s="1668" t="s">
        <v>249</v>
      </c>
      <c r="C494" s="1669"/>
      <c r="D494" s="1669"/>
      <c r="E494" s="1669"/>
      <c r="F494" s="1669"/>
      <c r="G494" s="1669"/>
      <c r="H494" s="1669"/>
      <c r="I494" s="1669"/>
      <c r="J494" s="1669"/>
      <c r="K494" s="1669"/>
      <c r="L494" s="1669"/>
      <c r="M494" s="1670"/>
      <c r="N494" s="221"/>
      <c r="O494" s="221"/>
      <c r="P494" s="221"/>
      <c r="Q494" s="221"/>
      <c r="R494" s="221"/>
      <c r="S494" s="221"/>
      <c r="T494" s="221"/>
      <c r="U494" s="221"/>
      <c r="V494" s="221"/>
      <c r="W494" s="221"/>
      <c r="X494" s="221"/>
      <c r="Y494" s="221"/>
      <c r="Z494" s="221"/>
      <c r="AA494" s="221"/>
      <c r="AB494" s="221"/>
      <c r="AC494" s="221"/>
      <c r="AD494" s="82"/>
      <c r="AE494" s="83"/>
      <c r="AF494" s="83"/>
      <c r="AG494" s="70"/>
      <c r="AH494" s="83"/>
      <c r="AI494" s="82"/>
    </row>
    <row r="495" spans="1:35" ht="15.5" x14ac:dyDescent="0.3">
      <c r="A495" s="66"/>
      <c r="B495" s="1710"/>
      <c r="C495" s="1601"/>
      <c r="D495" s="1584" t="s">
        <v>46</v>
      </c>
      <c r="E495" s="1713"/>
      <c r="F495" s="1585"/>
      <c r="G495" s="1189" t="s">
        <v>175</v>
      </c>
      <c r="H495" s="1190" t="s">
        <v>183</v>
      </c>
      <c r="I495" s="1216"/>
      <c r="J495" s="1584" t="s">
        <v>46</v>
      </c>
      <c r="K495" s="1585"/>
      <c r="L495" s="1189" t="s">
        <v>175</v>
      </c>
      <c r="M495" s="1192" t="s">
        <v>183</v>
      </c>
      <c r="N495" s="221"/>
      <c r="O495" s="221"/>
      <c r="P495" s="221"/>
      <c r="Q495" s="221"/>
      <c r="R495" s="221"/>
      <c r="S495" s="221"/>
      <c r="T495" s="221"/>
      <c r="U495" s="221"/>
      <c r="V495" s="221"/>
      <c r="W495" s="221"/>
      <c r="X495" s="221"/>
      <c r="Y495" s="221"/>
      <c r="Z495" s="221"/>
      <c r="AA495" s="221"/>
      <c r="AB495" s="221"/>
      <c r="AC495" s="221"/>
      <c r="AD495" s="82"/>
      <c r="AE495" s="83"/>
      <c r="AF495" s="83"/>
      <c r="AG495" s="70"/>
      <c r="AH495" s="83"/>
      <c r="AI495" s="82"/>
    </row>
    <row r="496" spans="1:35" ht="15.5" x14ac:dyDescent="0.3">
      <c r="A496" s="66"/>
      <c r="B496" s="1600">
        <v>531</v>
      </c>
      <c r="C496" s="1601"/>
      <c r="D496" s="1586">
        <v>0</v>
      </c>
      <c r="E496" s="1587"/>
      <c r="F496" s="1588"/>
      <c r="G496" s="1202"/>
      <c r="H496" s="1194">
        <f>D496-G496</f>
        <v>0</v>
      </c>
      <c r="I496" s="1195"/>
      <c r="J496" s="1659">
        <v>0</v>
      </c>
      <c r="K496" s="1660"/>
      <c r="L496" s="1196"/>
      <c r="M496" s="1197">
        <f t="shared" ref="M496:M502" si="48">J496-L496</f>
        <v>0</v>
      </c>
      <c r="N496" s="221"/>
      <c r="O496" s="221"/>
      <c r="P496" s="221"/>
      <c r="Q496" s="221"/>
      <c r="R496" s="221"/>
      <c r="S496" s="221"/>
      <c r="T496" s="221"/>
      <c r="U496" s="221"/>
      <c r="V496" s="221"/>
      <c r="W496" s="221"/>
      <c r="X496" s="221"/>
      <c r="Y496" s="221"/>
      <c r="Z496" s="221"/>
      <c r="AA496" s="221"/>
      <c r="AB496" s="221"/>
      <c r="AC496" s="221"/>
      <c r="AD496" s="82"/>
      <c r="AE496" s="83"/>
      <c r="AF496" s="83"/>
      <c r="AG496" s="70"/>
      <c r="AH496" s="83"/>
      <c r="AI496" s="82"/>
    </row>
    <row r="497" spans="1:35" ht="15.5" x14ac:dyDescent="0.3">
      <c r="A497" s="66"/>
      <c r="B497" s="1600">
        <v>532</v>
      </c>
      <c r="C497" s="1601"/>
      <c r="D497" s="1586">
        <v>0</v>
      </c>
      <c r="E497" s="1587"/>
      <c r="F497" s="1588"/>
      <c r="G497" s="1206"/>
      <c r="H497" s="1194">
        <f t="shared" ref="H497:H502" si="49">D497-G497</f>
        <v>0</v>
      </c>
      <c r="I497" s="1195"/>
      <c r="J497" s="1659">
        <v>0</v>
      </c>
      <c r="K497" s="1660"/>
      <c r="L497" s="1196"/>
      <c r="M497" s="1197">
        <f t="shared" si="48"/>
        <v>0</v>
      </c>
      <c r="N497" s="221"/>
      <c r="O497" s="221"/>
      <c r="P497" s="221"/>
      <c r="Q497" s="221"/>
      <c r="R497" s="221"/>
      <c r="S497" s="221"/>
      <c r="T497" s="221"/>
      <c r="U497" s="221"/>
      <c r="V497" s="221"/>
      <c r="W497" s="221"/>
      <c r="X497" s="221"/>
      <c r="Y497" s="221"/>
      <c r="Z497" s="221"/>
      <c r="AA497" s="221"/>
      <c r="AB497" s="221"/>
      <c r="AC497" s="221"/>
      <c r="AD497" s="82"/>
      <c r="AE497" s="83"/>
      <c r="AF497" s="83"/>
      <c r="AG497" s="70"/>
      <c r="AH497" s="83"/>
      <c r="AI497" s="82"/>
    </row>
    <row r="498" spans="1:35" ht="15.5" x14ac:dyDescent="0.3">
      <c r="A498" s="66"/>
      <c r="B498" s="1600">
        <v>533</v>
      </c>
      <c r="C498" s="1601"/>
      <c r="D498" s="1586">
        <v>0</v>
      </c>
      <c r="E498" s="1587"/>
      <c r="F498" s="1588"/>
      <c r="G498" s="1206"/>
      <c r="H498" s="1194">
        <f t="shared" si="49"/>
        <v>0</v>
      </c>
      <c r="I498" s="1195"/>
      <c r="J498" s="1659">
        <v>0</v>
      </c>
      <c r="K498" s="1660"/>
      <c r="L498" s="1196"/>
      <c r="M498" s="1197">
        <f t="shared" si="48"/>
        <v>0</v>
      </c>
      <c r="N498" s="221"/>
      <c r="O498" s="221"/>
      <c r="P498" s="221"/>
      <c r="Q498" s="221"/>
      <c r="R498" s="221"/>
      <c r="S498" s="221"/>
      <c r="T498" s="221"/>
      <c r="U498" s="221"/>
      <c r="V498" s="221"/>
      <c r="W498" s="221"/>
      <c r="X498" s="221"/>
      <c r="Y498" s="221"/>
      <c r="Z498" s="221"/>
      <c r="AA498" s="221"/>
      <c r="AB498" s="221"/>
      <c r="AC498" s="221"/>
      <c r="AD498" s="82"/>
      <c r="AE498" s="83"/>
      <c r="AF498" s="83"/>
      <c r="AG498" s="70"/>
      <c r="AH498" s="83"/>
      <c r="AI498" s="82"/>
    </row>
    <row r="499" spans="1:35" ht="15.5" x14ac:dyDescent="0.3">
      <c r="A499" s="66"/>
      <c r="B499" s="1600">
        <v>534</v>
      </c>
      <c r="C499" s="1601"/>
      <c r="D499" s="1586">
        <v>0</v>
      </c>
      <c r="E499" s="1587"/>
      <c r="F499" s="1588"/>
      <c r="G499" s="1206"/>
      <c r="H499" s="1194">
        <f t="shared" si="49"/>
        <v>0</v>
      </c>
      <c r="I499" s="1195"/>
      <c r="J499" s="1659">
        <v>0</v>
      </c>
      <c r="K499" s="1660"/>
      <c r="L499" s="1196"/>
      <c r="M499" s="1197">
        <f t="shared" si="48"/>
        <v>0</v>
      </c>
      <c r="N499" s="221"/>
      <c r="O499" s="221"/>
      <c r="P499" s="221"/>
      <c r="Q499" s="221"/>
      <c r="R499" s="221"/>
      <c r="S499" s="221"/>
      <c r="T499" s="221"/>
      <c r="U499" s="221"/>
      <c r="V499" s="221"/>
      <c r="W499" s="221"/>
      <c r="X499" s="221"/>
      <c r="Y499" s="221"/>
      <c r="Z499" s="221"/>
      <c r="AA499" s="221"/>
      <c r="AB499" s="221"/>
      <c r="AC499" s="221"/>
      <c r="AD499" s="82"/>
      <c r="AE499" s="83"/>
      <c r="AF499" s="83"/>
      <c r="AG499" s="70"/>
      <c r="AH499" s="83"/>
      <c r="AI499" s="82"/>
    </row>
    <row r="500" spans="1:35" ht="15.5" x14ac:dyDescent="0.3">
      <c r="A500" s="66"/>
      <c r="B500" s="1600">
        <v>536</v>
      </c>
      <c r="C500" s="1601"/>
      <c r="D500" s="1586">
        <v>0</v>
      </c>
      <c r="E500" s="1648"/>
      <c r="F500" s="1649"/>
      <c r="G500" s="1206"/>
      <c r="H500" s="1194">
        <f t="shared" si="49"/>
        <v>0</v>
      </c>
      <c r="I500" s="1228"/>
      <c r="J500" s="1659">
        <v>0</v>
      </c>
      <c r="K500" s="1649"/>
      <c r="L500" s="1196"/>
      <c r="M500" s="1197">
        <f t="shared" si="48"/>
        <v>0</v>
      </c>
      <c r="N500" s="221"/>
      <c r="O500" s="221"/>
      <c r="P500" s="221"/>
      <c r="Q500" s="221"/>
      <c r="R500" s="221"/>
      <c r="S500" s="221"/>
      <c r="T500" s="221"/>
      <c r="U500" s="221"/>
      <c r="V500" s="221"/>
      <c r="W500" s="221"/>
      <c r="X500" s="221"/>
      <c r="Y500" s="221"/>
      <c r="Z500" s="221"/>
      <c r="AA500" s="221"/>
      <c r="AB500" s="221"/>
      <c r="AC500" s="221"/>
      <c r="AD500" s="82"/>
      <c r="AE500" s="83"/>
      <c r="AF500" s="83"/>
      <c r="AG500" s="70"/>
      <c r="AH500" s="83"/>
      <c r="AI500" s="82"/>
    </row>
    <row r="501" spans="1:35" ht="15.5" x14ac:dyDescent="0.3">
      <c r="A501" s="66"/>
      <c r="B501" s="1673"/>
      <c r="C501" s="1674"/>
      <c r="D501" s="1586">
        <v>0</v>
      </c>
      <c r="E501" s="1587"/>
      <c r="F501" s="1588"/>
      <c r="G501" s="1206"/>
      <c r="H501" s="1194">
        <f t="shared" si="49"/>
        <v>0</v>
      </c>
      <c r="I501" s="1195"/>
      <c r="J501" s="1659">
        <v>0</v>
      </c>
      <c r="K501" s="1660"/>
      <c r="L501" s="1196"/>
      <c r="M501" s="1197">
        <f t="shared" si="48"/>
        <v>0</v>
      </c>
      <c r="N501" s="221"/>
      <c r="O501" s="221"/>
      <c r="P501" s="221"/>
      <c r="Q501" s="221"/>
      <c r="R501" s="221"/>
      <c r="S501" s="221"/>
      <c r="T501" s="221"/>
      <c r="U501" s="221"/>
      <c r="V501" s="221"/>
      <c r="W501" s="221"/>
      <c r="X501" s="221"/>
      <c r="Y501" s="221"/>
      <c r="Z501" s="221"/>
      <c r="AA501" s="221"/>
      <c r="AB501" s="221"/>
      <c r="AC501" s="221"/>
      <c r="AD501" s="82"/>
      <c r="AE501" s="83"/>
      <c r="AF501" s="83"/>
      <c r="AG501" s="70"/>
      <c r="AH501" s="83"/>
      <c r="AI501" s="82"/>
    </row>
    <row r="502" spans="1:35" ht="16" thickBot="1" x14ac:dyDescent="0.35">
      <c r="A502" s="66"/>
      <c r="B502" s="1664"/>
      <c r="C502" s="1665"/>
      <c r="D502" s="1586">
        <v>0</v>
      </c>
      <c r="E502" s="1587"/>
      <c r="F502" s="1588"/>
      <c r="G502" s="1206"/>
      <c r="H502" s="1194">
        <f t="shared" si="49"/>
        <v>0</v>
      </c>
      <c r="I502" s="1195"/>
      <c r="J502" s="1659">
        <v>0</v>
      </c>
      <c r="K502" s="1660"/>
      <c r="L502" s="1196"/>
      <c r="M502" s="1197">
        <f t="shared" si="48"/>
        <v>0</v>
      </c>
      <c r="N502" s="221"/>
      <c r="O502" s="221"/>
      <c r="P502" s="221"/>
      <c r="Q502" s="221"/>
      <c r="R502" s="221"/>
      <c r="S502" s="221"/>
      <c r="T502" s="221"/>
      <c r="U502" s="221"/>
      <c r="V502" s="221"/>
      <c r="W502" s="221"/>
      <c r="X502" s="221"/>
      <c r="Y502" s="221"/>
      <c r="Z502" s="221"/>
      <c r="AA502" s="221"/>
      <c r="AB502" s="221"/>
      <c r="AC502" s="221"/>
      <c r="AD502" s="82"/>
      <c r="AE502" s="83"/>
      <c r="AF502" s="83"/>
      <c r="AG502" s="70"/>
      <c r="AH502" s="83"/>
      <c r="AI502" s="82"/>
    </row>
    <row r="503" spans="1:35" ht="16.5" thickTop="1" thickBot="1" x14ac:dyDescent="0.35">
      <c r="A503" s="66"/>
      <c r="B503" s="1214" t="s">
        <v>116</v>
      </c>
      <c r="C503" s="1215"/>
      <c r="D503" s="1591">
        <f>SUM(D496:F502)</f>
        <v>0</v>
      </c>
      <c r="E503" s="1592"/>
      <c r="F503" s="1593"/>
      <c r="G503" s="1185">
        <f>SUM(G496:G502)</f>
        <v>0</v>
      </c>
      <c r="H503" s="1186">
        <f>SUM(H496:H502)</f>
        <v>0</v>
      </c>
      <c r="I503" s="1195"/>
      <c r="J503" s="1666">
        <f>SUM(J496:K502)</f>
        <v>0</v>
      </c>
      <c r="K503" s="1667"/>
      <c r="L503" s="1188">
        <f>SUM(L496:L502)</f>
        <v>0</v>
      </c>
      <c r="M503" s="1188">
        <f>SUM(M496:M502)</f>
        <v>0</v>
      </c>
      <c r="N503" s="234"/>
      <c r="O503" s="217"/>
      <c r="P503" s="217"/>
      <c r="Q503" s="217"/>
      <c r="R503" s="215"/>
      <c r="S503" s="215"/>
      <c r="T503" s="215"/>
      <c r="U503" s="215"/>
      <c r="V503" s="215"/>
      <c r="W503" s="215"/>
      <c r="X503" s="215"/>
      <c r="Y503" s="215"/>
      <c r="Z503" s="215"/>
      <c r="AA503" s="215"/>
      <c r="AB503" s="215"/>
      <c r="AC503" s="215"/>
      <c r="AG503" s="70"/>
    </row>
    <row r="504" spans="1:35" ht="16" thickTop="1" x14ac:dyDescent="0.3">
      <c r="A504" s="66"/>
      <c r="B504" s="291"/>
      <c r="C504" s="291"/>
      <c r="D504" s="291"/>
      <c r="E504" s="291"/>
      <c r="F504" s="291"/>
      <c r="G504" s="291"/>
      <c r="H504" s="291"/>
      <c r="I504" s="291"/>
      <c r="J504" s="291"/>
      <c r="K504" s="291"/>
      <c r="L504" s="291"/>
      <c r="M504" s="291"/>
      <c r="N504" s="291"/>
      <c r="O504" s="217"/>
      <c r="P504" s="217"/>
      <c r="Q504" s="217"/>
      <c r="R504" s="215"/>
      <c r="S504" s="215"/>
      <c r="T504" s="215"/>
      <c r="U504" s="215"/>
      <c r="V504" s="215"/>
      <c r="W504" s="215"/>
      <c r="X504" s="215"/>
      <c r="Y504" s="215"/>
      <c r="Z504" s="215"/>
      <c r="AA504" s="215"/>
      <c r="AB504" s="215"/>
      <c r="AC504" s="215"/>
      <c r="AG504" s="70"/>
    </row>
    <row r="505" spans="1:35" ht="15.5" x14ac:dyDescent="0.3">
      <c r="A505" s="66"/>
      <c r="B505" s="1728" t="s">
        <v>1160</v>
      </c>
      <c r="C505" s="1729"/>
      <c r="D505" s="1729"/>
      <c r="E505" s="1729"/>
      <c r="F505" s="1729"/>
      <c r="G505" s="1729"/>
      <c r="H505" s="1729"/>
      <c r="I505" s="1729"/>
      <c r="J505" s="1729"/>
      <c r="K505" s="1729"/>
      <c r="L505" s="1729"/>
      <c r="M505" s="1729"/>
      <c r="N505" s="298"/>
      <c r="O505" s="299"/>
      <c r="P505" s="299"/>
      <c r="Q505" s="299"/>
      <c r="R505" s="237"/>
      <c r="S505" s="237"/>
      <c r="T505" s="237"/>
      <c r="U505" s="237"/>
      <c r="V505" s="237"/>
      <c r="W505" s="237"/>
      <c r="X505" s="237"/>
      <c r="Y505" s="237"/>
      <c r="Z505" s="237"/>
      <c r="AA505" s="237"/>
      <c r="AB505" s="237"/>
      <c r="AC505" s="237"/>
      <c r="AG505" s="70"/>
    </row>
    <row r="506" spans="1:35" ht="16" thickBot="1" x14ac:dyDescent="0.35">
      <c r="A506" s="66"/>
      <c r="B506" s="2102" t="s">
        <v>172</v>
      </c>
      <c r="C506" s="2102"/>
      <c r="D506" s="2102"/>
      <c r="E506" s="2102"/>
      <c r="F506" s="2102"/>
      <c r="G506" s="2102"/>
      <c r="H506" s="2102"/>
      <c r="I506" s="2102"/>
      <c r="J506" s="2102"/>
      <c r="K506" s="2102"/>
      <c r="L506" s="2102"/>
      <c r="M506" s="2102"/>
      <c r="N506" s="298"/>
      <c r="O506" s="299"/>
      <c r="P506" s="299"/>
      <c r="Q506" s="299"/>
      <c r="R506" s="237"/>
      <c r="S506" s="237"/>
      <c r="T506" s="237"/>
      <c r="U506" s="237"/>
      <c r="V506" s="237"/>
      <c r="W506" s="237"/>
      <c r="X506" s="237"/>
      <c r="Y506" s="237"/>
      <c r="Z506" s="237"/>
      <c r="AA506" s="237"/>
      <c r="AB506" s="237"/>
      <c r="AC506" s="237"/>
      <c r="AG506" s="70"/>
    </row>
    <row r="507" spans="1:35" ht="16.5" thickTop="1" thickBot="1" x14ac:dyDescent="0.4">
      <c r="A507" s="66"/>
      <c r="B507" s="1671" t="str">
        <f>$B$69</f>
        <v>31 Desember 2019</v>
      </c>
      <c r="C507" s="1671"/>
      <c r="D507" s="1671"/>
      <c r="E507" s="1671"/>
      <c r="F507" s="1671"/>
      <c r="G507" s="1671"/>
      <c r="H507" s="1671"/>
      <c r="I507" s="230"/>
      <c r="J507" s="1672" t="str">
        <f>$J$69</f>
        <v>31 Desember 2018</v>
      </c>
      <c r="K507" s="1671"/>
      <c r="L507" s="1671"/>
      <c r="M507" s="1671"/>
      <c r="N507" s="219"/>
      <c r="O507" s="292"/>
      <c r="P507" s="292"/>
      <c r="Q507" s="292"/>
      <c r="R507" s="292"/>
      <c r="S507" s="292"/>
      <c r="T507" s="292"/>
      <c r="U507" s="292"/>
      <c r="V507" s="292"/>
      <c r="W507" s="292"/>
      <c r="X507" s="292"/>
      <c r="Y507" s="237"/>
      <c r="Z507" s="237"/>
      <c r="AA507" s="237"/>
      <c r="AB507" s="237"/>
      <c r="AC507" s="237"/>
    </row>
    <row r="508" spans="1:35" ht="20.5" thickTop="1" x14ac:dyDescent="0.3">
      <c r="A508" s="66"/>
      <c r="B508" s="1668" t="s">
        <v>250</v>
      </c>
      <c r="C508" s="1669"/>
      <c r="D508" s="1669"/>
      <c r="E508" s="1669"/>
      <c r="F508" s="1669"/>
      <c r="G508" s="1669"/>
      <c r="H508" s="1669"/>
      <c r="I508" s="1669"/>
      <c r="J508" s="1669"/>
      <c r="K508" s="1669"/>
      <c r="L508" s="1669"/>
      <c r="M508" s="1670"/>
      <c r="N508" s="219"/>
      <c r="O508" s="219"/>
      <c r="P508" s="219"/>
      <c r="Q508" s="219"/>
      <c r="R508" s="219"/>
      <c r="S508" s="219"/>
      <c r="T508" s="219"/>
      <c r="U508" s="219"/>
      <c r="V508" s="219"/>
      <c r="W508" s="219"/>
      <c r="X508" s="219"/>
      <c r="Y508" s="219"/>
      <c r="Z508" s="219"/>
      <c r="AA508" s="219"/>
      <c r="AB508" s="219"/>
      <c r="AC508" s="237"/>
    </row>
    <row r="509" spans="1:35" x14ac:dyDescent="0.3">
      <c r="A509" s="66"/>
      <c r="B509" s="1710"/>
      <c r="C509" s="1601"/>
      <c r="D509" s="1584" t="s">
        <v>46</v>
      </c>
      <c r="E509" s="1713"/>
      <c r="F509" s="1585"/>
      <c r="G509" s="1189" t="s">
        <v>175</v>
      </c>
      <c r="H509" s="1190" t="s">
        <v>183</v>
      </c>
      <c r="I509" s="1216"/>
      <c r="J509" s="1584" t="s">
        <v>46</v>
      </c>
      <c r="K509" s="1585"/>
      <c r="L509" s="1189" t="s">
        <v>175</v>
      </c>
      <c r="M509" s="1192" t="s">
        <v>183</v>
      </c>
      <c r="N509" s="219"/>
      <c r="O509" s="219"/>
      <c r="P509" s="219"/>
      <c r="Q509" s="219"/>
      <c r="R509" s="219"/>
      <c r="S509" s="219"/>
      <c r="T509" s="219"/>
      <c r="U509" s="219"/>
      <c r="V509" s="219"/>
      <c r="W509" s="219"/>
      <c r="X509" s="219"/>
      <c r="Y509" s="219"/>
      <c r="Z509" s="219"/>
      <c r="AA509" s="219"/>
      <c r="AB509" s="219"/>
      <c r="AC509" s="237"/>
    </row>
    <row r="510" spans="1:35" x14ac:dyDescent="0.3">
      <c r="A510" s="66"/>
      <c r="B510" s="1600">
        <v>547111</v>
      </c>
      <c r="C510" s="1601"/>
      <c r="D510" s="1586"/>
      <c r="E510" s="1587"/>
      <c r="F510" s="1588"/>
      <c r="G510" s="1202"/>
      <c r="H510" s="1194">
        <f t="shared" ref="H510:H515" si="50">D510-G510</f>
        <v>0</v>
      </c>
      <c r="I510" s="1195"/>
      <c r="J510" s="1659"/>
      <c r="K510" s="1660"/>
      <c r="L510" s="1196"/>
      <c r="M510" s="1197">
        <f t="shared" ref="M510:M515" si="51">J510-L510</f>
        <v>0</v>
      </c>
      <c r="N510" s="219"/>
      <c r="O510" s="219"/>
      <c r="P510" s="219"/>
      <c r="Q510" s="219"/>
      <c r="R510" s="219"/>
      <c r="S510" s="219"/>
      <c r="T510" s="219"/>
      <c r="U510" s="219"/>
      <c r="V510" s="219"/>
      <c r="W510" s="219"/>
      <c r="X510" s="219"/>
      <c r="Y510" s="219"/>
      <c r="Z510" s="219"/>
      <c r="AA510" s="219"/>
      <c r="AB510" s="219"/>
      <c r="AC510" s="237"/>
    </row>
    <row r="511" spans="1:35" x14ac:dyDescent="0.3">
      <c r="A511" s="66"/>
      <c r="B511" s="1600">
        <v>547112</v>
      </c>
      <c r="C511" s="1601"/>
      <c r="D511" s="1586"/>
      <c r="E511" s="1587"/>
      <c r="F511" s="1588"/>
      <c r="G511" s="1206"/>
      <c r="H511" s="1194">
        <f t="shared" si="50"/>
        <v>0</v>
      </c>
      <c r="I511" s="1195"/>
      <c r="J511" s="1659"/>
      <c r="K511" s="1660"/>
      <c r="L511" s="1196"/>
      <c r="M511" s="1197">
        <f t="shared" si="51"/>
        <v>0</v>
      </c>
      <c r="N511" s="219"/>
      <c r="O511" s="219"/>
      <c r="P511" s="219"/>
      <c r="Q511" s="219"/>
      <c r="R511" s="219"/>
      <c r="S511" s="219"/>
      <c r="T511" s="219"/>
      <c r="U511" s="219"/>
      <c r="V511" s="219"/>
      <c r="W511" s="219"/>
      <c r="X511" s="219"/>
      <c r="Y511" s="219"/>
      <c r="Z511" s="219"/>
      <c r="AA511" s="219"/>
      <c r="AB511" s="219"/>
      <c r="AC511" s="237"/>
    </row>
    <row r="512" spans="1:35" x14ac:dyDescent="0.3">
      <c r="A512" s="66"/>
      <c r="B512" s="1600">
        <v>547113</v>
      </c>
      <c r="C512" s="1601"/>
      <c r="D512" s="1586"/>
      <c r="E512" s="1587"/>
      <c r="F512" s="1588"/>
      <c r="G512" s="1206"/>
      <c r="H512" s="1194">
        <f t="shared" si="50"/>
        <v>0</v>
      </c>
      <c r="I512" s="1195"/>
      <c r="J512" s="1659"/>
      <c r="K512" s="1660"/>
      <c r="L512" s="1196"/>
      <c r="M512" s="1197">
        <f t="shared" si="51"/>
        <v>0</v>
      </c>
      <c r="N512" s="219"/>
      <c r="O512" s="219"/>
      <c r="P512" s="219"/>
      <c r="Q512" s="219"/>
      <c r="R512" s="219"/>
      <c r="S512" s="219"/>
      <c r="T512" s="219"/>
      <c r="U512" s="219"/>
      <c r="V512" s="219"/>
      <c r="W512" s="219"/>
      <c r="X512" s="219"/>
      <c r="Y512" s="219"/>
      <c r="Z512" s="219"/>
      <c r="AA512" s="219"/>
      <c r="AB512" s="219"/>
      <c r="AC512" s="237"/>
    </row>
    <row r="513" spans="1:29" x14ac:dyDescent="0.3">
      <c r="A513" s="66"/>
      <c r="B513" s="1600">
        <v>547119</v>
      </c>
      <c r="C513" s="1601"/>
      <c r="D513" s="1586"/>
      <c r="E513" s="1648"/>
      <c r="F513" s="1649"/>
      <c r="G513" s="1206"/>
      <c r="H513" s="1194">
        <f t="shared" si="50"/>
        <v>0</v>
      </c>
      <c r="I513" s="1195"/>
      <c r="J513" s="1659"/>
      <c r="K513" s="1649"/>
      <c r="L513" s="1196"/>
      <c r="M513" s="1197">
        <f t="shared" si="51"/>
        <v>0</v>
      </c>
      <c r="N513" s="219"/>
      <c r="O513" s="219"/>
      <c r="P513" s="219"/>
      <c r="Q513" s="219"/>
      <c r="R513" s="219"/>
      <c r="S513" s="219"/>
      <c r="T513" s="219"/>
      <c r="U513" s="219"/>
      <c r="V513" s="219"/>
      <c r="W513" s="219"/>
      <c r="X513" s="219"/>
      <c r="Y513" s="219"/>
      <c r="Z513" s="219"/>
      <c r="AA513" s="219"/>
      <c r="AB513" s="219"/>
      <c r="AC513" s="237"/>
    </row>
    <row r="514" spans="1:29" x14ac:dyDescent="0.3">
      <c r="A514" s="66"/>
      <c r="B514" s="1673"/>
      <c r="C514" s="1674"/>
      <c r="D514" s="1586"/>
      <c r="E514" s="1587"/>
      <c r="F514" s="1588"/>
      <c r="G514" s="1206"/>
      <c r="H514" s="1194">
        <f t="shared" si="50"/>
        <v>0</v>
      </c>
      <c r="I514" s="1195"/>
      <c r="J514" s="1659"/>
      <c r="K514" s="1660"/>
      <c r="L514" s="1196"/>
      <c r="M514" s="1197">
        <f t="shared" si="51"/>
        <v>0</v>
      </c>
      <c r="N514" s="219"/>
      <c r="O514" s="219"/>
      <c r="P514" s="219"/>
      <c r="Q514" s="219"/>
      <c r="R514" s="219"/>
      <c r="S514" s="219"/>
      <c r="T514" s="219"/>
      <c r="U514" s="219"/>
      <c r="V514" s="219"/>
      <c r="W514" s="219"/>
      <c r="X514" s="219"/>
      <c r="Y514" s="219"/>
      <c r="Z514" s="219"/>
      <c r="AA514" s="219"/>
      <c r="AB514" s="219"/>
      <c r="AC514" s="237"/>
    </row>
    <row r="515" spans="1:29" ht="14.5" thickBot="1" x14ac:dyDescent="0.35">
      <c r="A515" s="66"/>
      <c r="B515" s="1664"/>
      <c r="C515" s="1665"/>
      <c r="D515" s="1586"/>
      <c r="E515" s="1587"/>
      <c r="F515" s="1588"/>
      <c r="G515" s="1206"/>
      <c r="H515" s="1194">
        <f t="shared" si="50"/>
        <v>0</v>
      </c>
      <c r="I515" s="1195"/>
      <c r="J515" s="1659"/>
      <c r="K515" s="1660"/>
      <c r="L515" s="1196"/>
      <c r="M515" s="1197">
        <f t="shared" si="51"/>
        <v>0</v>
      </c>
      <c r="N515" s="219"/>
      <c r="O515" s="219"/>
      <c r="P515" s="219"/>
      <c r="Q515" s="219"/>
      <c r="R515" s="219"/>
      <c r="S515" s="219"/>
      <c r="T515" s="219"/>
      <c r="U515" s="219"/>
      <c r="V515" s="219"/>
      <c r="W515" s="219"/>
      <c r="X515" s="219"/>
      <c r="Y515" s="219"/>
      <c r="Z515" s="219"/>
      <c r="AA515" s="219"/>
      <c r="AB515" s="219"/>
      <c r="AC515" s="237"/>
    </row>
    <row r="516" spans="1:29" ht="15" thickTop="1" thickBot="1" x14ac:dyDescent="0.35">
      <c r="A516" s="66"/>
      <c r="B516" s="1214" t="s">
        <v>116</v>
      </c>
      <c r="C516" s="1215"/>
      <c r="D516" s="1591">
        <f>SUM(D510:F515)</f>
        <v>0</v>
      </c>
      <c r="E516" s="1592"/>
      <c r="F516" s="1593"/>
      <c r="G516" s="1185">
        <f>SUM(G510:G515)</f>
        <v>0</v>
      </c>
      <c r="H516" s="1186">
        <f>SUM(H510:H515)</f>
        <v>0</v>
      </c>
      <c r="I516" s="1195"/>
      <c r="J516" s="1666">
        <f>SUM(J510:K515)</f>
        <v>0</v>
      </c>
      <c r="K516" s="1667"/>
      <c r="L516" s="1188">
        <f>SUM(L510:L515)</f>
        <v>0</v>
      </c>
      <c r="M516" s="1188">
        <f>SUM(M510:M515)</f>
        <v>0</v>
      </c>
      <c r="N516" s="219"/>
      <c r="O516" s="219"/>
      <c r="P516" s="219"/>
      <c r="Q516" s="219"/>
      <c r="R516" s="219"/>
      <c r="S516" s="219"/>
      <c r="T516" s="219"/>
      <c r="U516" s="219"/>
      <c r="V516" s="219"/>
      <c r="W516" s="219"/>
      <c r="X516" s="219"/>
      <c r="Y516" s="219"/>
      <c r="Z516" s="219"/>
      <c r="AA516" s="219"/>
      <c r="AB516" s="219"/>
      <c r="AC516" s="237"/>
    </row>
    <row r="517" spans="1:29" ht="14.5" thickTop="1" x14ac:dyDescent="0.3">
      <c r="A517" s="66"/>
      <c r="B517" s="221"/>
      <c r="C517" s="221"/>
      <c r="D517" s="221"/>
      <c r="E517" s="221"/>
      <c r="F517" s="221"/>
      <c r="G517" s="221"/>
      <c r="H517" s="221"/>
      <c r="I517" s="221"/>
      <c r="J517" s="221"/>
      <c r="K517" s="221"/>
      <c r="L517" s="221"/>
      <c r="M517" s="221"/>
      <c r="N517" s="219"/>
      <c r="O517" s="219"/>
      <c r="P517" s="219"/>
      <c r="Q517" s="219"/>
      <c r="R517" s="219"/>
      <c r="S517" s="219"/>
      <c r="T517" s="219"/>
      <c r="U517" s="219"/>
      <c r="V517" s="219"/>
      <c r="W517" s="219"/>
      <c r="X517" s="219"/>
      <c r="Y517" s="219"/>
      <c r="Z517" s="219"/>
      <c r="AA517" s="219"/>
      <c r="AB517" s="219"/>
      <c r="AC517" s="237"/>
    </row>
    <row r="518" spans="1:29" ht="21" customHeight="1" x14ac:dyDescent="0.3">
      <c r="A518" s="66"/>
      <c r="B518" s="1728" t="s">
        <v>1161</v>
      </c>
      <c r="C518" s="1729"/>
      <c r="D518" s="1729"/>
      <c r="E518" s="1729"/>
      <c r="F518" s="1729"/>
      <c r="G518" s="1729"/>
      <c r="H518" s="1729"/>
      <c r="I518" s="1729"/>
      <c r="J518" s="1729"/>
      <c r="K518" s="1729"/>
      <c r="L518" s="1729"/>
      <c r="M518" s="1729"/>
      <c r="N518" s="219"/>
      <c r="O518" s="219"/>
      <c r="P518" s="219"/>
      <c r="Q518" s="219"/>
      <c r="R518" s="219"/>
      <c r="S518" s="219"/>
      <c r="T518" s="219"/>
      <c r="U518" s="219"/>
      <c r="V518" s="219"/>
      <c r="W518" s="219"/>
      <c r="X518" s="219"/>
      <c r="Y518" s="219"/>
      <c r="Z518" s="219"/>
      <c r="AA518" s="219"/>
      <c r="AB518" s="219"/>
      <c r="AC518" s="237"/>
    </row>
    <row r="519" spans="1:29" ht="14.5" thickBot="1" x14ac:dyDescent="0.35">
      <c r="A519" s="66"/>
      <c r="B519" s="2102" t="s">
        <v>172</v>
      </c>
      <c r="C519" s="2102"/>
      <c r="D519" s="2102"/>
      <c r="E519" s="2102"/>
      <c r="F519" s="2102"/>
      <c r="G519" s="2102"/>
      <c r="H519" s="2102"/>
      <c r="I519" s="2102"/>
      <c r="J519" s="2102"/>
      <c r="K519" s="2102"/>
      <c r="L519" s="2102"/>
      <c r="M519" s="2102"/>
      <c r="N519" s="219"/>
      <c r="O519" s="219"/>
      <c r="P519" s="219"/>
      <c r="Q519" s="219"/>
      <c r="R519" s="219"/>
      <c r="S519" s="219"/>
      <c r="T519" s="219"/>
      <c r="U519" s="219"/>
      <c r="V519" s="219"/>
      <c r="W519" s="219"/>
      <c r="X519" s="219"/>
      <c r="Y519" s="219"/>
      <c r="Z519" s="219"/>
      <c r="AA519" s="219"/>
      <c r="AB519" s="219"/>
      <c r="AC519" s="237"/>
    </row>
    <row r="520" spans="1:29" ht="16.5" thickTop="1" thickBot="1" x14ac:dyDescent="0.4">
      <c r="A520" s="66"/>
      <c r="B520" s="1671" t="str">
        <f>$B$69</f>
        <v>31 Desember 2019</v>
      </c>
      <c r="C520" s="1671"/>
      <c r="D520" s="1671"/>
      <c r="E520" s="1671"/>
      <c r="F520" s="1671"/>
      <c r="G520" s="1671"/>
      <c r="H520" s="1671"/>
      <c r="I520" s="230"/>
      <c r="J520" s="1672" t="str">
        <f>$J$69</f>
        <v>31 Desember 2018</v>
      </c>
      <c r="K520" s="1671"/>
      <c r="L520" s="1671"/>
      <c r="M520" s="1671"/>
      <c r="N520" s="219"/>
      <c r="O520" s="219"/>
      <c r="P520" s="219"/>
      <c r="Q520" s="219"/>
      <c r="R520" s="219"/>
      <c r="S520" s="219"/>
      <c r="T520" s="219"/>
      <c r="U520" s="219"/>
      <c r="V520" s="219"/>
      <c r="W520" s="219"/>
      <c r="X520" s="219"/>
      <c r="Y520" s="219"/>
      <c r="Z520" s="219"/>
      <c r="AA520" s="219"/>
      <c r="AB520" s="219"/>
      <c r="AC520" s="237"/>
    </row>
    <row r="521" spans="1:29" ht="20.5" thickTop="1" x14ac:dyDescent="0.3">
      <c r="A521" s="66"/>
      <c r="B521" s="1668" t="s">
        <v>252</v>
      </c>
      <c r="C521" s="1669"/>
      <c r="D521" s="1669"/>
      <c r="E521" s="1669"/>
      <c r="F521" s="1669"/>
      <c r="G521" s="1669"/>
      <c r="H521" s="1669"/>
      <c r="I521" s="1669"/>
      <c r="J521" s="1669"/>
      <c r="K521" s="1669"/>
      <c r="L521" s="1669"/>
      <c r="M521" s="1670"/>
      <c r="N521" s="219"/>
      <c r="O521" s="219"/>
      <c r="P521" s="219"/>
      <c r="Q521" s="219"/>
      <c r="R521" s="219"/>
      <c r="S521" s="219"/>
      <c r="T521" s="219"/>
      <c r="U521" s="219"/>
      <c r="V521" s="219"/>
      <c r="W521" s="219"/>
      <c r="X521" s="219"/>
      <c r="Y521" s="219"/>
      <c r="Z521" s="219"/>
      <c r="AA521" s="219"/>
      <c r="AB521" s="219"/>
      <c r="AC521" s="237"/>
    </row>
    <row r="522" spans="1:29" x14ac:dyDescent="0.3">
      <c r="A522" s="66"/>
      <c r="B522" s="1710"/>
      <c r="C522" s="1601"/>
      <c r="D522" s="1584" t="s">
        <v>46</v>
      </c>
      <c r="E522" s="1713"/>
      <c r="F522" s="1585"/>
      <c r="G522" s="1189" t="s">
        <v>175</v>
      </c>
      <c r="H522" s="1190" t="s">
        <v>183</v>
      </c>
      <c r="I522" s="1216"/>
      <c r="J522" s="1584" t="s">
        <v>46</v>
      </c>
      <c r="K522" s="1585"/>
      <c r="L522" s="1189" t="s">
        <v>175</v>
      </c>
      <c r="M522" s="1192" t="s">
        <v>183</v>
      </c>
      <c r="N522" s="219"/>
      <c r="O522" s="219"/>
      <c r="P522" s="219"/>
      <c r="Q522" s="219"/>
      <c r="R522" s="219"/>
      <c r="S522" s="219"/>
      <c r="T522" s="219"/>
      <c r="U522" s="219"/>
      <c r="V522" s="219"/>
      <c r="W522" s="219"/>
      <c r="X522" s="219"/>
      <c r="Y522" s="219"/>
      <c r="Z522" s="219"/>
      <c r="AA522" s="219"/>
      <c r="AB522" s="219"/>
      <c r="AC522" s="237"/>
    </row>
    <row r="523" spans="1:29" x14ac:dyDescent="0.3">
      <c r="A523" s="66"/>
      <c r="B523" s="1710">
        <v>571111</v>
      </c>
      <c r="C523" s="1585"/>
      <c r="D523" s="1586"/>
      <c r="E523" s="1587"/>
      <c r="F523" s="1588"/>
      <c r="G523" s="1202"/>
      <c r="H523" s="1194">
        <f>D523-G523</f>
        <v>0</v>
      </c>
      <c r="I523" s="1228"/>
      <c r="J523" s="1659"/>
      <c r="K523" s="1660"/>
      <c r="L523" s="1196"/>
      <c r="M523" s="1197">
        <f t="shared" ref="M523:M537" si="52">J523-L523</f>
        <v>0</v>
      </c>
      <c r="N523" s="219"/>
      <c r="O523" s="219"/>
      <c r="P523" s="219"/>
      <c r="Q523" s="219"/>
      <c r="R523" s="219"/>
      <c r="S523" s="219"/>
      <c r="T523" s="219"/>
      <c r="U523" s="219"/>
      <c r="V523" s="219"/>
      <c r="W523" s="219"/>
      <c r="X523" s="219"/>
      <c r="Y523" s="219"/>
      <c r="Z523" s="219"/>
      <c r="AA523" s="219"/>
      <c r="AB523" s="219"/>
      <c r="AC523" s="237"/>
    </row>
    <row r="524" spans="1:29" x14ac:dyDescent="0.3">
      <c r="A524" s="66"/>
      <c r="B524" s="1710">
        <v>571112</v>
      </c>
      <c r="C524" s="1585"/>
      <c r="D524" s="1586"/>
      <c r="E524" s="1587"/>
      <c r="F524" s="1588"/>
      <c r="G524" s="1202"/>
      <c r="H524" s="1194">
        <f>D524-G524</f>
        <v>0</v>
      </c>
      <c r="I524" s="1228"/>
      <c r="J524" s="1659"/>
      <c r="K524" s="1660"/>
      <c r="L524" s="1196"/>
      <c r="M524" s="1197">
        <f>J524-L524</f>
        <v>0</v>
      </c>
      <c r="N524" s="219"/>
      <c r="O524" s="219"/>
      <c r="P524" s="219"/>
      <c r="Q524" s="219"/>
      <c r="R524" s="219"/>
      <c r="S524" s="219"/>
      <c r="T524" s="219"/>
      <c r="U524" s="219"/>
      <c r="V524" s="219"/>
      <c r="W524" s="219"/>
      <c r="X524" s="219"/>
      <c r="Y524" s="219"/>
      <c r="Z524" s="219"/>
      <c r="AA524" s="219"/>
      <c r="AB524" s="219"/>
      <c r="AC524" s="237"/>
    </row>
    <row r="525" spans="1:29" x14ac:dyDescent="0.3">
      <c r="A525" s="66"/>
      <c r="B525" s="1600">
        <v>572111</v>
      </c>
      <c r="C525" s="1899"/>
      <c r="D525" s="1586"/>
      <c r="E525" s="1587"/>
      <c r="F525" s="1588"/>
      <c r="G525" s="1202"/>
      <c r="H525" s="1194">
        <f t="shared" ref="H525:H537" si="53">D525-G525</f>
        <v>0</v>
      </c>
      <c r="I525" s="1195"/>
      <c r="J525" s="1659"/>
      <c r="K525" s="1660"/>
      <c r="L525" s="1196"/>
      <c r="M525" s="1197">
        <f t="shared" si="52"/>
        <v>0</v>
      </c>
      <c r="N525" s="219"/>
      <c r="O525" s="219"/>
      <c r="P525" s="219"/>
      <c r="Q525" s="219"/>
      <c r="R525" s="219"/>
      <c r="S525" s="219"/>
      <c r="T525" s="219"/>
      <c r="U525" s="219"/>
      <c r="V525" s="219"/>
      <c r="W525" s="219"/>
      <c r="X525" s="219"/>
      <c r="Y525" s="219"/>
      <c r="Z525" s="219"/>
      <c r="AA525" s="219"/>
      <c r="AB525" s="219"/>
      <c r="AC525" s="237"/>
    </row>
    <row r="526" spans="1:29" x14ac:dyDescent="0.3">
      <c r="A526" s="66"/>
      <c r="B526" s="1600">
        <v>572112</v>
      </c>
      <c r="C526" s="1899"/>
      <c r="D526" s="1586"/>
      <c r="E526" s="1587"/>
      <c r="F526" s="1588"/>
      <c r="G526" s="1206"/>
      <c r="H526" s="1194">
        <f t="shared" si="53"/>
        <v>0</v>
      </c>
      <c r="I526" s="1195"/>
      <c r="J526" s="1659"/>
      <c r="K526" s="1660"/>
      <c r="L526" s="1196"/>
      <c r="M526" s="1197">
        <f t="shared" si="52"/>
        <v>0</v>
      </c>
      <c r="N526" s="219"/>
      <c r="O526" s="219"/>
      <c r="P526" s="219"/>
      <c r="Q526" s="219"/>
      <c r="R526" s="219"/>
      <c r="S526" s="219"/>
      <c r="T526" s="219"/>
      <c r="U526" s="219"/>
      <c r="V526" s="219"/>
      <c r="W526" s="219"/>
      <c r="X526" s="219"/>
      <c r="Y526" s="219"/>
      <c r="Z526" s="219"/>
      <c r="AA526" s="219"/>
      <c r="AB526" s="219"/>
      <c r="AC526" s="237"/>
    </row>
    <row r="527" spans="1:29" x14ac:dyDescent="0.3">
      <c r="A527" s="66"/>
      <c r="B527" s="1600">
        <v>573111</v>
      </c>
      <c r="C527" s="1899"/>
      <c r="D527" s="1586"/>
      <c r="E527" s="1587"/>
      <c r="F527" s="1588"/>
      <c r="G527" s="1206"/>
      <c r="H527" s="1194">
        <f t="shared" si="53"/>
        <v>0</v>
      </c>
      <c r="I527" s="1195"/>
      <c r="J527" s="1659"/>
      <c r="K527" s="1660"/>
      <c r="L527" s="1196"/>
      <c r="M527" s="1197">
        <f t="shared" si="52"/>
        <v>0</v>
      </c>
      <c r="N527" s="219"/>
      <c r="O527" s="219"/>
      <c r="P527" s="219"/>
      <c r="Q527" s="219"/>
      <c r="R527" s="219"/>
      <c r="S527" s="219"/>
      <c r="T527" s="219"/>
      <c r="U527" s="219"/>
      <c r="V527" s="219"/>
      <c r="W527" s="219"/>
      <c r="X527" s="219"/>
      <c r="Y527" s="219"/>
      <c r="Z527" s="219"/>
      <c r="AA527" s="219"/>
      <c r="AB527" s="219"/>
      <c r="AC527" s="237"/>
    </row>
    <row r="528" spans="1:29" x14ac:dyDescent="0.3">
      <c r="A528" s="66"/>
      <c r="B528" s="1600">
        <v>573112</v>
      </c>
      <c r="C528" s="1899"/>
      <c r="D528" s="1586"/>
      <c r="E528" s="1587"/>
      <c r="F528" s="1588"/>
      <c r="G528" s="1206"/>
      <c r="H528" s="1194">
        <f t="shared" si="53"/>
        <v>0</v>
      </c>
      <c r="I528" s="1195"/>
      <c r="J528" s="1659"/>
      <c r="K528" s="1660"/>
      <c r="L528" s="1196"/>
      <c r="M528" s="1197">
        <f t="shared" si="52"/>
        <v>0</v>
      </c>
      <c r="N528" s="219"/>
      <c r="O528" s="219"/>
      <c r="P528" s="219"/>
      <c r="Q528" s="219"/>
      <c r="R528" s="219"/>
      <c r="S528" s="219"/>
      <c r="T528" s="219"/>
      <c r="U528" s="219"/>
      <c r="V528" s="219"/>
      <c r="W528" s="219"/>
      <c r="X528" s="219"/>
      <c r="Y528" s="219"/>
      <c r="Z528" s="219"/>
      <c r="AA528" s="219"/>
      <c r="AB528" s="219"/>
      <c r="AC528" s="237"/>
    </row>
    <row r="529" spans="1:35" x14ac:dyDescent="0.3">
      <c r="A529" s="66"/>
      <c r="B529" s="1600">
        <v>573119</v>
      </c>
      <c r="C529" s="1899"/>
      <c r="D529" s="1586"/>
      <c r="E529" s="1587"/>
      <c r="F529" s="1588"/>
      <c r="G529" s="1206"/>
      <c r="H529" s="1194">
        <f>D529-G529</f>
        <v>0</v>
      </c>
      <c r="I529" s="1195"/>
      <c r="J529" s="1659"/>
      <c r="K529" s="1660"/>
      <c r="L529" s="1196"/>
      <c r="M529" s="1197">
        <f>J529-L529</f>
        <v>0</v>
      </c>
      <c r="N529" s="219"/>
      <c r="O529" s="219"/>
      <c r="P529" s="219"/>
      <c r="Q529" s="219"/>
      <c r="R529" s="219"/>
      <c r="S529" s="219"/>
      <c r="T529" s="219"/>
      <c r="U529" s="219"/>
      <c r="V529" s="219"/>
      <c r="W529" s="219"/>
      <c r="X529" s="219"/>
      <c r="Y529" s="219"/>
      <c r="Z529" s="219"/>
      <c r="AA529" s="219"/>
      <c r="AB529" s="219"/>
      <c r="AC529" s="237"/>
      <c r="AE529" s="341"/>
      <c r="AF529" s="341"/>
      <c r="AG529" s="341"/>
      <c r="AH529" s="341"/>
    </row>
    <row r="530" spans="1:35" x14ac:dyDescent="0.3">
      <c r="A530" s="66"/>
      <c r="B530" s="1600">
        <v>574111</v>
      </c>
      <c r="C530" s="1899"/>
      <c r="D530" s="1586"/>
      <c r="E530" s="1587"/>
      <c r="F530" s="1588"/>
      <c r="G530" s="1206"/>
      <c r="H530" s="1194">
        <f>D530-G530</f>
        <v>0</v>
      </c>
      <c r="I530" s="1195"/>
      <c r="J530" s="1659"/>
      <c r="K530" s="1660"/>
      <c r="L530" s="1196"/>
      <c r="M530" s="1197">
        <f>J530-L530</f>
        <v>0</v>
      </c>
      <c r="N530" s="219"/>
      <c r="O530" s="219"/>
      <c r="P530" s="219"/>
      <c r="Q530" s="219"/>
      <c r="R530" s="219"/>
      <c r="S530" s="219"/>
      <c r="T530" s="219"/>
      <c r="U530" s="219"/>
      <c r="V530" s="219"/>
      <c r="W530" s="219"/>
      <c r="X530" s="219"/>
      <c r="Y530" s="219"/>
      <c r="Z530" s="219"/>
      <c r="AA530" s="219"/>
      <c r="AB530" s="219"/>
      <c r="AC530" s="237"/>
    </row>
    <row r="531" spans="1:35" x14ac:dyDescent="0.3">
      <c r="A531" s="66"/>
      <c r="B531" s="1600">
        <v>574112</v>
      </c>
      <c r="C531" s="1899"/>
      <c r="D531" s="1586"/>
      <c r="E531" s="1587"/>
      <c r="F531" s="1588"/>
      <c r="G531" s="1206"/>
      <c r="H531" s="1194">
        <f>D531-G531</f>
        <v>0</v>
      </c>
      <c r="I531" s="1195"/>
      <c r="J531" s="1659"/>
      <c r="K531" s="1660"/>
      <c r="L531" s="1196"/>
      <c r="M531" s="1197">
        <f>J531-L531</f>
        <v>0</v>
      </c>
      <c r="N531" s="219"/>
      <c r="O531" s="219"/>
      <c r="P531" s="219"/>
      <c r="Q531" s="219"/>
      <c r="R531" s="219"/>
      <c r="S531" s="219"/>
      <c r="T531" s="219"/>
      <c r="U531" s="219"/>
      <c r="V531" s="219"/>
      <c r="W531" s="219"/>
      <c r="X531" s="219"/>
      <c r="Y531" s="219"/>
      <c r="Z531" s="219"/>
      <c r="AA531" s="219"/>
      <c r="AB531" s="219"/>
      <c r="AC531" s="237"/>
    </row>
    <row r="532" spans="1:35" x14ac:dyDescent="0.3">
      <c r="A532" s="66"/>
      <c r="B532" s="1600">
        <v>575111</v>
      </c>
      <c r="C532" s="1899"/>
      <c r="D532" s="1586"/>
      <c r="E532" s="1648"/>
      <c r="F532" s="1649"/>
      <c r="G532" s="1206"/>
      <c r="H532" s="1194">
        <f t="shared" si="53"/>
        <v>0</v>
      </c>
      <c r="I532" s="1195"/>
      <c r="J532" s="1659"/>
      <c r="K532" s="1649"/>
      <c r="L532" s="1196"/>
      <c r="M532" s="1197">
        <f t="shared" si="52"/>
        <v>0</v>
      </c>
      <c r="N532" s="219"/>
      <c r="O532" s="219"/>
      <c r="P532" s="219"/>
      <c r="Q532" s="219"/>
      <c r="R532" s="219"/>
      <c r="S532" s="219"/>
      <c r="T532" s="219"/>
      <c r="U532" s="219"/>
      <c r="V532" s="219"/>
      <c r="W532" s="219"/>
      <c r="X532" s="219"/>
      <c r="Y532" s="219"/>
      <c r="Z532" s="219"/>
      <c r="AA532" s="219"/>
      <c r="AB532" s="219"/>
      <c r="AC532" s="237"/>
    </row>
    <row r="533" spans="1:35" x14ac:dyDescent="0.3">
      <c r="A533" s="66"/>
      <c r="B533" s="1600">
        <v>575112</v>
      </c>
      <c r="C533" s="1899"/>
      <c r="D533" s="1586"/>
      <c r="E533" s="1648"/>
      <c r="F533" s="1649"/>
      <c r="G533" s="1206"/>
      <c r="H533" s="1194">
        <f>D533-G533</f>
        <v>0</v>
      </c>
      <c r="I533" s="1195"/>
      <c r="J533" s="1659"/>
      <c r="K533" s="1649"/>
      <c r="L533" s="1196"/>
      <c r="M533" s="1197">
        <f>J533-L533</f>
        <v>0</v>
      </c>
      <c r="N533" s="219"/>
      <c r="O533" s="219"/>
      <c r="P533" s="219"/>
      <c r="Q533" s="219"/>
      <c r="R533" s="219"/>
      <c r="S533" s="219"/>
      <c r="T533" s="219"/>
      <c r="U533" s="219"/>
      <c r="V533" s="219"/>
      <c r="W533" s="219"/>
      <c r="X533" s="219"/>
      <c r="Y533" s="219"/>
      <c r="Z533" s="219"/>
      <c r="AA533" s="219"/>
      <c r="AB533" s="219"/>
      <c r="AC533" s="237"/>
    </row>
    <row r="534" spans="1:35" x14ac:dyDescent="0.3">
      <c r="A534" s="66"/>
      <c r="B534" s="1600">
        <v>576111</v>
      </c>
      <c r="C534" s="1899"/>
      <c r="D534" s="1586"/>
      <c r="E534" s="1648"/>
      <c r="F534" s="1649"/>
      <c r="G534" s="1206"/>
      <c r="H534" s="1194">
        <f>D534-G534</f>
        <v>0</v>
      </c>
      <c r="I534" s="1195"/>
      <c r="J534" s="1659"/>
      <c r="K534" s="1649"/>
      <c r="L534" s="1196"/>
      <c r="M534" s="1197">
        <f>J534-L534</f>
        <v>0</v>
      </c>
      <c r="N534" s="219"/>
      <c r="O534" s="219"/>
      <c r="P534" s="219"/>
      <c r="Q534" s="219"/>
      <c r="R534" s="219"/>
      <c r="S534" s="219"/>
      <c r="T534" s="219"/>
      <c r="U534" s="219"/>
      <c r="V534" s="219"/>
      <c r="W534" s="219"/>
      <c r="X534" s="219"/>
      <c r="Y534" s="219"/>
      <c r="Z534" s="219"/>
      <c r="AA534" s="219"/>
      <c r="AB534" s="219"/>
      <c r="AC534" s="237"/>
    </row>
    <row r="535" spans="1:35" x14ac:dyDescent="0.3">
      <c r="A535" s="66"/>
      <c r="B535" s="1600">
        <v>576112</v>
      </c>
      <c r="C535" s="1899"/>
      <c r="D535" s="1586"/>
      <c r="E535" s="1648"/>
      <c r="F535" s="1649"/>
      <c r="G535" s="1206"/>
      <c r="H535" s="1194">
        <f>D535-G535</f>
        <v>0</v>
      </c>
      <c r="I535" s="1195"/>
      <c r="J535" s="1659"/>
      <c r="K535" s="1649"/>
      <c r="L535" s="1196"/>
      <c r="M535" s="1197">
        <f>J535-L535</f>
        <v>0</v>
      </c>
      <c r="N535" s="219"/>
      <c r="O535" s="219"/>
      <c r="P535" s="219"/>
      <c r="Q535" s="219"/>
      <c r="R535" s="219"/>
      <c r="S535" s="219"/>
      <c r="T535" s="219"/>
      <c r="U535" s="219"/>
      <c r="V535" s="219"/>
      <c r="W535" s="219"/>
      <c r="X535" s="219"/>
      <c r="Y535" s="219"/>
      <c r="Z535" s="219"/>
      <c r="AA535" s="219"/>
      <c r="AB535" s="219"/>
      <c r="AC535" s="237"/>
    </row>
    <row r="536" spans="1:35" x14ac:dyDescent="0.3">
      <c r="A536" s="66"/>
      <c r="B536" s="1673"/>
      <c r="C536" s="1734"/>
      <c r="D536" s="1586"/>
      <c r="E536" s="1587"/>
      <c r="F536" s="1588"/>
      <c r="G536" s="1206"/>
      <c r="H536" s="1194">
        <f t="shared" si="53"/>
        <v>0</v>
      </c>
      <c r="I536" s="1195"/>
      <c r="J536" s="1659"/>
      <c r="K536" s="1660"/>
      <c r="L536" s="1196"/>
      <c r="M536" s="1197">
        <f t="shared" si="52"/>
        <v>0</v>
      </c>
      <c r="N536" s="219"/>
      <c r="O536" s="219"/>
      <c r="P536" s="219"/>
      <c r="Q536" s="219"/>
      <c r="R536" s="219"/>
      <c r="S536" s="219"/>
      <c r="T536" s="219"/>
      <c r="U536" s="219"/>
      <c r="V536" s="219"/>
      <c r="W536" s="219"/>
      <c r="X536" s="219"/>
      <c r="Y536" s="219"/>
      <c r="Z536" s="219"/>
      <c r="AA536" s="219"/>
      <c r="AB536" s="219"/>
      <c r="AC536" s="237"/>
    </row>
    <row r="537" spans="1:35" ht="14.5" thickBot="1" x14ac:dyDescent="0.35">
      <c r="A537" s="66"/>
      <c r="B537" s="1664"/>
      <c r="C537" s="2041"/>
      <c r="D537" s="1586"/>
      <c r="E537" s="1587"/>
      <c r="F537" s="1588"/>
      <c r="G537" s="1206"/>
      <c r="H537" s="1194">
        <f t="shared" si="53"/>
        <v>0</v>
      </c>
      <c r="I537" s="1195"/>
      <c r="J537" s="1659"/>
      <c r="K537" s="1660"/>
      <c r="L537" s="1196"/>
      <c r="M537" s="1197">
        <f t="shared" si="52"/>
        <v>0</v>
      </c>
      <c r="N537" s="219"/>
      <c r="O537" s="219"/>
      <c r="P537" s="219"/>
      <c r="Q537" s="219"/>
      <c r="R537" s="219"/>
      <c r="S537" s="219"/>
      <c r="T537" s="219"/>
      <c r="U537" s="219"/>
      <c r="V537" s="219"/>
      <c r="W537" s="219"/>
      <c r="X537" s="219"/>
      <c r="Y537" s="219"/>
      <c r="Z537" s="219"/>
      <c r="AA537" s="219"/>
      <c r="AB537" s="219"/>
      <c r="AC537" s="237"/>
    </row>
    <row r="538" spans="1:35" ht="17.25" customHeight="1" thickTop="1" thickBot="1" x14ac:dyDescent="0.35">
      <c r="A538" s="66"/>
      <c r="B538" s="2039" t="s">
        <v>116</v>
      </c>
      <c r="C538" s="2040"/>
      <c r="D538" s="1705">
        <f>SUM(D523:F537)</f>
        <v>0</v>
      </c>
      <c r="E538" s="1706"/>
      <c r="F538" s="1707"/>
      <c r="G538" s="1221">
        <f>SUM(G523:G537)</f>
        <v>0</v>
      </c>
      <c r="H538" s="1222">
        <f>SUM(H523:H537)</f>
        <v>0</v>
      </c>
      <c r="I538" s="1195"/>
      <c r="J538" s="2037">
        <f>SUM(J523:K537)</f>
        <v>0</v>
      </c>
      <c r="K538" s="2038"/>
      <c r="L538" s="1233">
        <f>SUM(L523:L537)</f>
        <v>0</v>
      </c>
      <c r="M538" s="1233">
        <f>SUM(M523:M537)</f>
        <v>0</v>
      </c>
      <c r="N538" s="219"/>
      <c r="O538" s="219"/>
      <c r="P538" s="219"/>
      <c r="Q538" s="219"/>
      <c r="R538" s="219"/>
      <c r="S538" s="219"/>
      <c r="T538" s="219"/>
      <c r="U538" s="219"/>
      <c r="V538" s="219"/>
      <c r="W538" s="219"/>
      <c r="X538" s="219"/>
      <c r="Y538" s="219"/>
      <c r="Z538" s="219"/>
      <c r="AA538" s="219"/>
      <c r="AB538" s="219"/>
      <c r="AC538" s="237"/>
    </row>
    <row r="539" spans="1:35" ht="16.5" thickTop="1" thickBot="1" x14ac:dyDescent="0.4">
      <c r="A539" s="66"/>
      <c r="B539" s="1671"/>
      <c r="C539" s="1671"/>
      <c r="D539" s="1671"/>
      <c r="E539" s="1671"/>
      <c r="F539" s="1671"/>
      <c r="G539" s="1671"/>
      <c r="H539" s="1671"/>
      <c r="I539" s="230"/>
      <c r="J539" s="1672"/>
      <c r="K539" s="1671"/>
      <c r="L539" s="1671"/>
      <c r="M539" s="1671"/>
      <c r="N539" s="219"/>
      <c r="O539" s="219"/>
      <c r="P539" s="219"/>
      <c r="Q539" s="219"/>
      <c r="R539" s="219"/>
      <c r="S539" s="219"/>
      <c r="T539" s="219"/>
      <c r="U539" s="219"/>
      <c r="V539" s="219"/>
      <c r="W539" s="219"/>
      <c r="X539" s="219"/>
      <c r="Y539" s="219"/>
      <c r="Z539" s="219"/>
      <c r="AA539" s="219"/>
      <c r="AB539" s="219"/>
      <c r="AC539" s="237"/>
    </row>
    <row r="540" spans="1:35" ht="20.5" thickTop="1" x14ac:dyDescent="0.4">
      <c r="A540" s="66"/>
      <c r="B540" s="2008" t="s">
        <v>352</v>
      </c>
      <c r="C540" s="2008"/>
      <c r="D540" s="2008"/>
      <c r="E540" s="2008"/>
      <c r="F540" s="2008"/>
      <c r="G540" s="2008"/>
      <c r="H540" s="2008"/>
      <c r="I540" s="2008"/>
      <c r="J540" s="2008"/>
      <c r="K540" s="2008"/>
      <c r="L540" s="2008"/>
      <c r="M540" s="2008"/>
      <c r="N540" s="2008"/>
      <c r="O540" s="2008"/>
      <c r="P540" s="2008"/>
      <c r="Q540" s="2008"/>
      <c r="R540" s="2008"/>
      <c r="S540" s="2008"/>
      <c r="T540" s="2008"/>
      <c r="U540" s="2008"/>
      <c r="V540" s="2008"/>
      <c r="W540" s="2008"/>
      <c r="X540" s="2008"/>
      <c r="Y540" s="2008"/>
      <c r="Z540" s="2008"/>
      <c r="AA540" s="2008"/>
      <c r="AB540" s="238"/>
      <c r="AC540" s="238"/>
      <c r="AD540" s="90"/>
      <c r="AE540" s="91"/>
      <c r="AF540" s="91"/>
      <c r="AG540" s="91"/>
      <c r="AH540" s="91"/>
      <c r="AI540" s="90"/>
    </row>
    <row r="541" spans="1:35" ht="20.5" thickBot="1" x14ac:dyDescent="0.45">
      <c r="A541" s="66"/>
      <c r="B541" s="2009"/>
      <c r="C541" s="2009"/>
      <c r="D541" s="2009"/>
      <c r="E541" s="2009"/>
      <c r="F541" s="2009"/>
      <c r="G541" s="2009"/>
      <c r="H541" s="2009"/>
      <c r="I541" s="2009"/>
      <c r="J541" s="2009"/>
      <c r="K541" s="2009"/>
      <c r="L541" s="2009"/>
      <c r="M541" s="2009"/>
      <c r="N541" s="2009"/>
      <c r="O541" s="2009"/>
      <c r="P541" s="2009"/>
      <c r="Q541" s="2009"/>
      <c r="R541" s="2009"/>
      <c r="S541" s="2009"/>
      <c r="T541" s="2009"/>
      <c r="U541" s="2009"/>
      <c r="V541" s="2009"/>
      <c r="W541" s="2009"/>
      <c r="X541" s="2009"/>
      <c r="Y541" s="2009"/>
      <c r="Z541" s="2009"/>
      <c r="AA541" s="2009"/>
      <c r="AB541" s="239"/>
      <c r="AC541" s="239"/>
      <c r="AD541" s="90"/>
      <c r="AE541" s="91"/>
      <c r="AF541" s="91"/>
      <c r="AG541" s="91"/>
      <c r="AH541" s="91"/>
      <c r="AI541" s="90"/>
    </row>
    <row r="542" spans="1:35" ht="16" thickTop="1" x14ac:dyDescent="0.35">
      <c r="A542" s="66"/>
      <c r="B542" s="2010" t="s">
        <v>143</v>
      </c>
      <c r="C542" s="2014" t="s">
        <v>264</v>
      </c>
      <c r="D542" s="2015"/>
      <c r="E542" s="2015"/>
      <c r="F542" s="2015"/>
      <c r="G542" s="2015"/>
      <c r="H542" s="2016"/>
      <c r="I542" s="2012" t="str">
        <f>$B$69</f>
        <v>31 Desember 2019</v>
      </c>
      <c r="J542" s="1927"/>
      <c r="K542" s="1927"/>
      <c r="L542" s="1927"/>
      <c r="M542" s="1927"/>
      <c r="N542" s="1927"/>
      <c r="O542" s="1927"/>
      <c r="P542" s="1929"/>
      <c r="Q542" s="2013" t="str">
        <f>$J$69</f>
        <v>31 Desember 2018</v>
      </c>
      <c r="R542" s="1927"/>
      <c r="S542" s="1927"/>
      <c r="T542" s="1927"/>
      <c r="U542" s="1927"/>
      <c r="V542" s="1927"/>
      <c r="W542" s="1927"/>
      <c r="X542" s="1927"/>
      <c r="Y542" s="1927"/>
      <c r="Z542" s="1927"/>
      <c r="AA542" s="1929"/>
      <c r="AB542" s="215"/>
      <c r="AC542" s="215"/>
    </row>
    <row r="543" spans="1:35" s="81" customFormat="1" ht="27.5" customHeight="1" x14ac:dyDescent="0.35">
      <c r="A543" s="92"/>
      <c r="B543" s="2011"/>
      <c r="C543" s="2017"/>
      <c r="D543" s="2018"/>
      <c r="E543" s="2018"/>
      <c r="F543" s="2018"/>
      <c r="G543" s="2018"/>
      <c r="H543" s="2019"/>
      <c r="I543" s="1996" t="s">
        <v>265</v>
      </c>
      <c r="J543" s="1919"/>
      <c r="K543" s="1996" t="s">
        <v>266</v>
      </c>
      <c r="L543" s="1919"/>
      <c r="M543" s="1999" t="s">
        <v>267</v>
      </c>
      <c r="N543" s="1919"/>
      <c r="O543" s="1999" t="s">
        <v>268</v>
      </c>
      <c r="P543" s="1917"/>
      <c r="Q543" s="1994" t="s">
        <v>265</v>
      </c>
      <c r="R543" s="1995"/>
      <c r="S543" s="1919"/>
      <c r="T543" s="1996" t="s">
        <v>266</v>
      </c>
      <c r="U543" s="1997"/>
      <c r="V543" s="1998"/>
      <c r="W543" s="1999" t="s">
        <v>267</v>
      </c>
      <c r="X543" s="1995"/>
      <c r="Y543" s="1919"/>
      <c r="Z543" s="1999" t="s">
        <v>268</v>
      </c>
      <c r="AA543" s="1917"/>
      <c r="AB543" s="240"/>
      <c r="AC543" s="240"/>
    </row>
    <row r="544" spans="1:35" ht="15.5" x14ac:dyDescent="0.35">
      <c r="A544" s="66"/>
      <c r="B544" s="93">
        <v>1</v>
      </c>
      <c r="C544" s="2000">
        <v>2</v>
      </c>
      <c r="D544" s="2004"/>
      <c r="E544" s="2004"/>
      <c r="F544" s="2004"/>
      <c r="G544" s="2004"/>
      <c r="H544" s="2005"/>
      <c r="I544" s="2000">
        <v>3</v>
      </c>
      <c r="J544" s="2001"/>
      <c r="K544" s="2000">
        <v>4</v>
      </c>
      <c r="L544" s="2001"/>
      <c r="M544" s="94">
        <v>5</v>
      </c>
      <c r="N544" s="95"/>
      <c r="O544" s="1990">
        <v>6</v>
      </c>
      <c r="P544" s="1991"/>
      <c r="Q544" s="2002">
        <v>3</v>
      </c>
      <c r="R544" s="2003"/>
      <c r="S544" s="2001"/>
      <c r="T544" s="2000">
        <v>4</v>
      </c>
      <c r="U544" s="2004"/>
      <c r="V544" s="2005"/>
      <c r="W544" s="1990">
        <v>5</v>
      </c>
      <c r="X544" s="2003"/>
      <c r="Y544" s="2001"/>
      <c r="Z544" s="1990">
        <v>6</v>
      </c>
      <c r="AA544" s="1991"/>
      <c r="AB544" s="215"/>
      <c r="AC544" s="215"/>
    </row>
    <row r="545" spans="1:34" x14ac:dyDescent="0.3">
      <c r="A545" s="66"/>
      <c r="B545" s="96" t="s">
        <v>269</v>
      </c>
      <c r="C545" s="97" t="s">
        <v>270</v>
      </c>
      <c r="D545" s="98"/>
      <c r="E545" s="98"/>
      <c r="F545" s="98"/>
      <c r="G545" s="98"/>
      <c r="H545" s="98"/>
      <c r="I545" s="1992"/>
      <c r="J545" s="2034"/>
      <c r="K545" s="1992"/>
      <c r="L545" s="2034"/>
      <c r="M545" s="99"/>
      <c r="N545" s="99"/>
      <c r="O545" s="100"/>
      <c r="P545" s="101"/>
      <c r="Q545" s="102"/>
      <c r="R545" s="99"/>
      <c r="S545" s="99"/>
      <c r="T545" s="103"/>
      <c r="U545" s="99"/>
      <c r="V545" s="104"/>
      <c r="W545" s="99"/>
      <c r="X545" s="99"/>
      <c r="Y545" s="99"/>
      <c r="Z545" s="100"/>
      <c r="AA545" s="105"/>
      <c r="AB545" s="215"/>
      <c r="AC545" s="215"/>
    </row>
    <row r="546" spans="1:34" x14ac:dyDescent="0.3">
      <c r="A546" s="66"/>
      <c r="B546" s="106"/>
      <c r="C546" s="107" t="s">
        <v>271</v>
      </c>
      <c r="D546" s="108" t="s">
        <v>272</v>
      </c>
      <c r="E546" s="108"/>
      <c r="F546" s="108"/>
      <c r="G546" s="108"/>
      <c r="H546" s="108"/>
      <c r="I546" s="1970">
        <f>I547+I548</f>
        <v>0</v>
      </c>
      <c r="J546" s="2021"/>
      <c r="K546" s="1970">
        <f>K547+K548</f>
        <v>3299999</v>
      </c>
      <c r="L546" s="2021"/>
      <c r="M546" s="1686">
        <f t="shared" ref="M546:M554" si="54">K546-I546</f>
        <v>3299999</v>
      </c>
      <c r="N546" s="2021"/>
      <c r="O546" s="1688">
        <f t="shared" ref="O546:O553" si="55">IF(I546=0,0,(K546/I546)*100)</f>
        <v>0</v>
      </c>
      <c r="P546" s="1689"/>
      <c r="Q546" s="1989">
        <f>Q547+Q548</f>
        <v>0</v>
      </c>
      <c r="R546" s="2020"/>
      <c r="S546" s="2021"/>
      <c r="T546" s="1970">
        <f>T547+T548</f>
        <v>48900000</v>
      </c>
      <c r="U546" s="2020"/>
      <c r="V546" s="2021"/>
      <c r="W546" s="1686">
        <f t="shared" ref="W546:W554" si="56">T546-Q546</f>
        <v>48900000</v>
      </c>
      <c r="X546" s="2020"/>
      <c r="Y546" s="2021"/>
      <c r="Z546" s="1688">
        <f t="shared" ref="Z546:Z554" si="57">IF(Q546=0,0,(T546/Q546)*100)</f>
        <v>0</v>
      </c>
      <c r="AA546" s="1689"/>
      <c r="AB546" s="215"/>
      <c r="AC546" s="215"/>
    </row>
    <row r="547" spans="1:34" x14ac:dyDescent="0.3">
      <c r="A547" s="66"/>
      <c r="B547" s="106"/>
      <c r="C547" s="107"/>
      <c r="D547" s="108" t="s">
        <v>125</v>
      </c>
      <c r="E547" s="108" t="s">
        <v>273</v>
      </c>
      <c r="F547" s="108"/>
      <c r="G547" s="108"/>
      <c r="H547" s="108"/>
      <c r="I547" s="1597">
        <v>0</v>
      </c>
      <c r="J547" s="1598"/>
      <c r="K547" s="1970">
        <f>$K$49</f>
        <v>0</v>
      </c>
      <c r="L547" s="2021"/>
      <c r="M547" s="1686">
        <f t="shared" si="54"/>
        <v>0</v>
      </c>
      <c r="N547" s="2021"/>
      <c r="O547" s="1688">
        <f t="shared" si="55"/>
        <v>0</v>
      </c>
      <c r="P547" s="1689"/>
      <c r="Q547" s="2032">
        <v>0</v>
      </c>
      <c r="R547" s="1640"/>
      <c r="S547" s="1598"/>
      <c r="T547" s="1970">
        <f>$M$49</f>
        <v>0</v>
      </c>
      <c r="U547" s="2020"/>
      <c r="V547" s="2021"/>
      <c r="W547" s="1686">
        <f t="shared" si="56"/>
        <v>0</v>
      </c>
      <c r="X547" s="2020"/>
      <c r="Y547" s="2021"/>
      <c r="Z547" s="1688">
        <f t="shared" si="57"/>
        <v>0</v>
      </c>
      <c r="AA547" s="1689"/>
      <c r="AB547" s="215"/>
      <c r="AC547" s="215"/>
    </row>
    <row r="548" spans="1:34" x14ac:dyDescent="0.3">
      <c r="A548" s="66"/>
      <c r="B548" s="106"/>
      <c r="C548" s="107"/>
      <c r="D548" s="108" t="s">
        <v>126</v>
      </c>
      <c r="E548" s="108" t="s">
        <v>62</v>
      </c>
      <c r="F548" s="108"/>
      <c r="G548" s="108"/>
      <c r="H548" s="108"/>
      <c r="I548" s="1970">
        <f>SUM(I549:J552)</f>
        <v>0</v>
      </c>
      <c r="J548" s="2021"/>
      <c r="K548" s="1970">
        <f>SUM(K549:L552)</f>
        <v>3299999</v>
      </c>
      <c r="L548" s="2021"/>
      <c r="M548" s="1686">
        <f t="shared" si="54"/>
        <v>3299999</v>
      </c>
      <c r="N548" s="2021"/>
      <c r="O548" s="1688">
        <f t="shared" si="55"/>
        <v>0</v>
      </c>
      <c r="P548" s="1689"/>
      <c r="Q548" s="1989">
        <f>SUM(Q549:S552)</f>
        <v>0</v>
      </c>
      <c r="R548" s="2020"/>
      <c r="S548" s="2021"/>
      <c r="T548" s="1970">
        <f>SUM(T549:V552)</f>
        <v>48900000</v>
      </c>
      <c r="U548" s="2020"/>
      <c r="V548" s="2021"/>
      <c r="W548" s="1686">
        <f t="shared" si="56"/>
        <v>48900000</v>
      </c>
      <c r="X548" s="2020"/>
      <c r="Y548" s="2021"/>
      <c r="Z548" s="1688">
        <f t="shared" si="57"/>
        <v>0</v>
      </c>
      <c r="AA548" s="1689"/>
      <c r="AB548" s="215"/>
      <c r="AC548" s="215"/>
    </row>
    <row r="549" spans="1:34" x14ac:dyDescent="0.3">
      <c r="A549" s="66"/>
      <c r="B549" s="106"/>
      <c r="C549" s="107"/>
      <c r="D549" s="108"/>
      <c r="E549" s="108" t="s">
        <v>274</v>
      </c>
      <c r="F549" s="108" t="s">
        <v>275</v>
      </c>
      <c r="G549" s="108"/>
      <c r="H549" s="108"/>
      <c r="I549" s="1597">
        <v>0</v>
      </c>
      <c r="J549" s="1598"/>
      <c r="K549" s="1970">
        <f>0</f>
        <v>0</v>
      </c>
      <c r="L549" s="2021"/>
      <c r="M549" s="1686">
        <f t="shared" si="54"/>
        <v>0</v>
      </c>
      <c r="N549" s="2021"/>
      <c r="O549" s="1688">
        <f t="shared" si="55"/>
        <v>0</v>
      </c>
      <c r="P549" s="1689"/>
      <c r="Q549" s="2032">
        <v>0</v>
      </c>
      <c r="R549" s="1640"/>
      <c r="S549" s="1598"/>
      <c r="T549" s="1970">
        <v>0</v>
      </c>
      <c r="U549" s="2020"/>
      <c r="V549" s="2021"/>
      <c r="W549" s="1686">
        <f t="shared" si="56"/>
        <v>0</v>
      </c>
      <c r="X549" s="2020"/>
      <c r="Y549" s="2021"/>
      <c r="Z549" s="1688">
        <f t="shared" si="57"/>
        <v>0</v>
      </c>
      <c r="AA549" s="1689"/>
      <c r="AB549" s="215"/>
      <c r="AC549" s="215"/>
    </row>
    <row r="550" spans="1:34" x14ac:dyDescent="0.3">
      <c r="A550" s="66"/>
      <c r="B550" s="106"/>
      <c r="C550" s="107"/>
      <c r="D550" s="108"/>
      <c r="E550" s="108" t="s">
        <v>274</v>
      </c>
      <c r="F550" s="108" t="s">
        <v>276</v>
      </c>
      <c r="G550" s="108"/>
      <c r="H550" s="108"/>
      <c r="I550" s="1597">
        <v>0</v>
      </c>
      <c r="J550" s="1598"/>
      <c r="K550" s="1970">
        <v>0</v>
      </c>
      <c r="L550" s="2021"/>
      <c r="M550" s="1686">
        <f t="shared" si="54"/>
        <v>0</v>
      </c>
      <c r="N550" s="2021"/>
      <c r="O550" s="1688">
        <f t="shared" si="55"/>
        <v>0</v>
      </c>
      <c r="P550" s="1689"/>
      <c r="Q550" s="2032">
        <v>0</v>
      </c>
      <c r="R550" s="1640"/>
      <c r="S550" s="1598"/>
      <c r="T550" s="1970">
        <v>0</v>
      </c>
      <c r="U550" s="2020"/>
      <c r="V550" s="2021"/>
      <c r="W550" s="1686">
        <f t="shared" si="56"/>
        <v>0</v>
      </c>
      <c r="X550" s="2020"/>
      <c r="Y550" s="2021"/>
      <c r="Z550" s="1688">
        <f t="shared" si="57"/>
        <v>0</v>
      </c>
      <c r="AA550" s="1689"/>
      <c r="AB550" s="215"/>
      <c r="AC550" s="215"/>
    </row>
    <row r="551" spans="1:34" x14ac:dyDescent="0.3">
      <c r="A551" s="66"/>
      <c r="B551" s="106"/>
      <c r="C551" s="107"/>
      <c r="D551" s="108"/>
      <c r="E551" s="108" t="s">
        <v>274</v>
      </c>
      <c r="F551" s="108" t="s">
        <v>277</v>
      </c>
      <c r="G551" s="108"/>
      <c r="H551" s="108"/>
      <c r="I551" s="1597">
        <v>0</v>
      </c>
      <c r="J551" s="1598"/>
      <c r="K551" s="1970">
        <f>$K$38</f>
        <v>3299999</v>
      </c>
      <c r="L551" s="2021"/>
      <c r="M551" s="1686">
        <f t="shared" si="54"/>
        <v>3299999</v>
      </c>
      <c r="N551" s="2021"/>
      <c r="O551" s="1688">
        <f t="shared" si="55"/>
        <v>0</v>
      </c>
      <c r="P551" s="1689"/>
      <c r="Q551" s="2032">
        <v>0</v>
      </c>
      <c r="R551" s="1640"/>
      <c r="S551" s="1598"/>
      <c r="T551" s="1970">
        <f>$M$38</f>
        <v>48900000</v>
      </c>
      <c r="U551" s="2020"/>
      <c r="V551" s="2021"/>
      <c r="W551" s="1686">
        <f t="shared" si="56"/>
        <v>48900000</v>
      </c>
      <c r="X551" s="2020"/>
      <c r="Y551" s="2021"/>
      <c r="Z551" s="1688">
        <f t="shared" si="57"/>
        <v>0</v>
      </c>
      <c r="AA551" s="1689"/>
      <c r="AB551" s="215"/>
      <c r="AC551" s="215"/>
    </row>
    <row r="552" spans="1:34" x14ac:dyDescent="0.3">
      <c r="A552" s="66"/>
      <c r="B552" s="106"/>
      <c r="C552" s="107"/>
      <c r="D552" s="108"/>
      <c r="E552" s="108" t="s">
        <v>274</v>
      </c>
      <c r="F552" s="108" t="s">
        <v>278</v>
      </c>
      <c r="G552" s="108"/>
      <c r="H552" s="108"/>
      <c r="I552" s="2035">
        <f>$P$58</f>
        <v>0</v>
      </c>
      <c r="J552" s="2036"/>
      <c r="K552" s="1970">
        <f>$K$58</f>
        <v>0</v>
      </c>
      <c r="L552" s="2021"/>
      <c r="M552" s="1686">
        <f t="shared" si="54"/>
        <v>0</v>
      </c>
      <c r="N552" s="2021"/>
      <c r="O552" s="1688">
        <f t="shared" si="55"/>
        <v>0</v>
      </c>
      <c r="P552" s="1689"/>
      <c r="Q552" s="1989">
        <f>$W$58</f>
        <v>0</v>
      </c>
      <c r="R552" s="2020"/>
      <c r="S552" s="2021"/>
      <c r="T552" s="1970">
        <f>$M$58</f>
        <v>0</v>
      </c>
      <c r="U552" s="2020"/>
      <c r="V552" s="2021"/>
      <c r="W552" s="1686">
        <f t="shared" si="56"/>
        <v>0</v>
      </c>
      <c r="X552" s="2020"/>
      <c r="Y552" s="2021"/>
      <c r="Z552" s="1688">
        <f t="shared" si="57"/>
        <v>0</v>
      </c>
      <c r="AA552" s="1689"/>
      <c r="AB552" s="215"/>
      <c r="AC552" s="215"/>
    </row>
    <row r="553" spans="1:34" x14ac:dyDescent="0.3">
      <c r="A553" s="66"/>
      <c r="B553" s="106"/>
      <c r="C553" s="107" t="s">
        <v>65</v>
      </c>
      <c r="D553" s="108" t="s">
        <v>279</v>
      </c>
      <c r="E553" s="108"/>
      <c r="F553" s="108"/>
      <c r="G553" s="108"/>
      <c r="H553" s="108"/>
      <c r="I553" s="1970">
        <v>0</v>
      </c>
      <c r="J553" s="2021"/>
      <c r="K553" s="1970">
        <f>$K$65</f>
        <v>0</v>
      </c>
      <c r="L553" s="2021"/>
      <c r="M553" s="1686">
        <f t="shared" si="54"/>
        <v>0</v>
      </c>
      <c r="N553" s="2021"/>
      <c r="O553" s="1688">
        <f t="shared" si="55"/>
        <v>0</v>
      </c>
      <c r="P553" s="1689"/>
      <c r="Q553" s="1989">
        <v>0</v>
      </c>
      <c r="R553" s="2020"/>
      <c r="S553" s="2021"/>
      <c r="T553" s="1970">
        <f>V509</f>
        <v>0</v>
      </c>
      <c r="U553" s="2020"/>
      <c r="V553" s="2021"/>
      <c r="W553" s="1686">
        <f t="shared" si="56"/>
        <v>0</v>
      </c>
      <c r="X553" s="2020"/>
      <c r="Y553" s="2021"/>
      <c r="Z553" s="1688">
        <f t="shared" si="57"/>
        <v>0</v>
      </c>
      <c r="AA553" s="1689"/>
      <c r="AB553" s="215"/>
      <c r="AC553" s="215"/>
    </row>
    <row r="554" spans="1:34" s="113" customFormat="1" x14ac:dyDescent="0.3">
      <c r="A554" s="109"/>
      <c r="B554" s="110"/>
      <c r="C554" s="111" t="s">
        <v>280</v>
      </c>
      <c r="D554" s="112"/>
      <c r="E554" s="112"/>
      <c r="F554" s="112"/>
      <c r="G554" s="112"/>
      <c r="H554" s="112"/>
      <c r="I554" s="1970">
        <f>I546+I553</f>
        <v>0</v>
      </c>
      <c r="J554" s="2021"/>
      <c r="K554" s="1970">
        <f>K546+K553</f>
        <v>3299999</v>
      </c>
      <c r="L554" s="2021"/>
      <c r="M554" s="1686">
        <f t="shared" si="54"/>
        <v>3299999</v>
      </c>
      <c r="N554" s="2021"/>
      <c r="O554" s="1986">
        <f>IF(I554=0,0,(K554/I554)*100)</f>
        <v>0</v>
      </c>
      <c r="P554" s="1689"/>
      <c r="Q554" s="1987">
        <f>Q546+Q553</f>
        <v>0</v>
      </c>
      <c r="R554" s="2020"/>
      <c r="S554" s="2021"/>
      <c r="T554" s="1988">
        <f>T546+T553</f>
        <v>48900000</v>
      </c>
      <c r="U554" s="2020"/>
      <c r="V554" s="2021"/>
      <c r="W554" s="2033">
        <f t="shared" si="56"/>
        <v>48900000</v>
      </c>
      <c r="X554" s="2020"/>
      <c r="Y554" s="2021"/>
      <c r="Z554" s="1986">
        <f t="shared" si="57"/>
        <v>0</v>
      </c>
      <c r="AA554" s="1689"/>
      <c r="AB554" s="241"/>
      <c r="AC554" s="241"/>
    </row>
    <row r="555" spans="1:34" x14ac:dyDescent="0.3">
      <c r="A555" s="66"/>
      <c r="B555" s="114"/>
      <c r="C555" s="107"/>
      <c r="D555" s="108"/>
      <c r="E555" s="108"/>
      <c r="F555" s="108"/>
      <c r="G555" s="108"/>
      <c r="H555" s="108"/>
      <c r="I555" s="1970"/>
      <c r="J555" s="2021"/>
      <c r="K555" s="1138"/>
      <c r="L555" s="1234"/>
      <c r="M555" s="1235"/>
      <c r="N555" s="1235"/>
      <c r="O555" s="1236"/>
      <c r="P555" s="1237"/>
      <c r="Q555" s="1142"/>
      <c r="R555" s="1235"/>
      <c r="S555" s="1235"/>
      <c r="T555" s="1138"/>
      <c r="U555" s="1235"/>
      <c r="V555" s="1234"/>
      <c r="W555" s="1235"/>
      <c r="X555" s="1235"/>
      <c r="Y555" s="1235"/>
      <c r="Z555" s="1236"/>
      <c r="AA555" s="1238"/>
      <c r="AB555" s="215"/>
      <c r="AC555" s="215"/>
    </row>
    <row r="556" spans="1:34" x14ac:dyDescent="0.3">
      <c r="A556" s="66"/>
      <c r="B556" s="114" t="s">
        <v>281</v>
      </c>
      <c r="C556" s="107" t="s">
        <v>63</v>
      </c>
      <c r="D556" s="108"/>
      <c r="E556" s="108"/>
      <c r="F556" s="108"/>
      <c r="G556" s="108"/>
      <c r="H556" s="108"/>
      <c r="I556" s="1970"/>
      <c r="J556" s="2021"/>
      <c r="K556" s="123"/>
      <c r="L556" s="633"/>
      <c r="M556" s="1235"/>
      <c r="N556" s="1235"/>
      <c r="O556" s="1236"/>
      <c r="P556" s="1237"/>
      <c r="Q556" s="1142"/>
      <c r="R556" s="1235"/>
      <c r="S556" s="1235"/>
      <c r="T556" s="1138"/>
      <c r="U556" s="1235"/>
      <c r="V556" s="1234"/>
      <c r="W556" s="1235"/>
      <c r="X556" s="1235"/>
      <c r="Y556" s="1235"/>
      <c r="Z556" s="1236"/>
      <c r="AA556" s="1238"/>
      <c r="AB556" s="215"/>
      <c r="AC556" s="215"/>
    </row>
    <row r="557" spans="1:34" x14ac:dyDescent="0.3">
      <c r="A557" s="66"/>
      <c r="B557" s="114"/>
      <c r="C557" s="421" t="s">
        <v>1666</v>
      </c>
      <c r="D557" s="108"/>
      <c r="E557" s="108"/>
      <c r="F557" s="108"/>
      <c r="G557" s="108"/>
      <c r="H557" s="108"/>
      <c r="I557" s="1138"/>
      <c r="J557" s="1239"/>
      <c r="K557" s="123"/>
      <c r="L557" s="124"/>
      <c r="M557" s="1235"/>
      <c r="N557" s="1235"/>
      <c r="O557" s="1236"/>
      <c r="P557" s="1237"/>
      <c r="Q557" s="1142"/>
      <c r="R557" s="1235"/>
      <c r="S557" s="1235"/>
      <c r="T557" s="1138"/>
      <c r="U557" s="1235"/>
      <c r="V557" s="1234"/>
      <c r="W557" s="1235"/>
      <c r="X557" s="1235"/>
      <c r="Y557" s="1235"/>
      <c r="Z557" s="1236"/>
      <c r="AA557" s="1238"/>
      <c r="AB557" s="215"/>
      <c r="AC557" s="215"/>
      <c r="AE557" s="341"/>
      <c r="AF557" s="341"/>
      <c r="AG557" s="341"/>
      <c r="AH557" s="341"/>
    </row>
    <row r="558" spans="1:34" x14ac:dyDescent="0.3">
      <c r="A558" s="66"/>
      <c r="B558" s="114"/>
      <c r="C558" s="125">
        <v>1</v>
      </c>
      <c r="D558" s="108" t="s">
        <v>64</v>
      </c>
      <c r="E558" s="108"/>
      <c r="F558" s="108"/>
      <c r="G558" s="108"/>
      <c r="H558" s="108"/>
      <c r="I558" s="1597">
        <v>3443983000</v>
      </c>
      <c r="J558" s="1599"/>
      <c r="K558" s="1970">
        <f>SUM(H72:H134)</f>
        <v>3316366778</v>
      </c>
      <c r="L558" s="2021"/>
      <c r="M558" s="1686">
        <f t="shared" ref="M558:M563" si="58">K558-I558</f>
        <v>-127616222</v>
      </c>
      <c r="N558" s="2021"/>
      <c r="O558" s="1688">
        <f t="shared" ref="O558:O563" si="59">IF(I558=0,0,(K558/I558)*100)</f>
        <v>96.294516494419398</v>
      </c>
      <c r="P558" s="1689"/>
      <c r="Q558" s="2032">
        <v>3543038000</v>
      </c>
      <c r="R558" s="1640"/>
      <c r="S558" s="1598"/>
      <c r="T558" s="1970">
        <f>M135+M165+M208+M219+M185</f>
        <v>3415029601</v>
      </c>
      <c r="U558" s="2020"/>
      <c r="V558" s="2021"/>
      <c r="W558" s="1686">
        <f t="shared" ref="W558:W563" si="60">T558-Q558</f>
        <v>-128008399</v>
      </c>
      <c r="X558" s="2020"/>
      <c r="Y558" s="2021"/>
      <c r="Z558" s="1688">
        <f t="shared" ref="Z558:Z563" si="61">IF(Q558=0,0,(T558/Q558)*100)</f>
        <v>96.387044141214403</v>
      </c>
      <c r="AA558" s="1689"/>
      <c r="AB558" s="215"/>
      <c r="AC558" s="215"/>
    </row>
    <row r="559" spans="1:34" x14ac:dyDescent="0.3">
      <c r="A559" s="66"/>
      <c r="B559" s="126"/>
      <c r="C559" s="125">
        <v>2</v>
      </c>
      <c r="D559" s="108" t="s">
        <v>66</v>
      </c>
      <c r="E559" s="108"/>
      <c r="F559" s="108"/>
      <c r="G559" s="108"/>
      <c r="H559" s="108"/>
      <c r="I559" s="1597">
        <v>7044703000</v>
      </c>
      <c r="J559" s="1599"/>
      <c r="K559" s="1970">
        <f>H235+H249+H319+H340+H354+H366+H263+H256+H381+H302</f>
        <v>6645148395</v>
      </c>
      <c r="L559" s="2021"/>
      <c r="M559" s="1686">
        <f t="shared" si="58"/>
        <v>-399554605</v>
      </c>
      <c r="N559" s="2021"/>
      <c r="O559" s="1688">
        <f t="shared" si="59"/>
        <v>94.328297374637373</v>
      </c>
      <c r="P559" s="1689"/>
      <c r="Q559" s="2032">
        <v>6937885000</v>
      </c>
      <c r="R559" s="1640"/>
      <c r="S559" s="1598"/>
      <c r="T559" s="1970">
        <f>M235+M249+M319+M340+M354+M366+M263+M256+M381+M302</f>
        <v>6719748800</v>
      </c>
      <c r="U559" s="2020"/>
      <c r="V559" s="2021"/>
      <c r="W559" s="1686">
        <f t="shared" si="60"/>
        <v>-218136200</v>
      </c>
      <c r="X559" s="2020"/>
      <c r="Y559" s="2021"/>
      <c r="Z559" s="1688">
        <f t="shared" si="61"/>
        <v>96.855868899527735</v>
      </c>
      <c r="AA559" s="1689"/>
      <c r="AB559" s="215"/>
      <c r="AC559" s="215"/>
    </row>
    <row r="560" spans="1:34" x14ac:dyDescent="0.3">
      <c r="A560" s="66"/>
      <c r="B560" s="126"/>
      <c r="C560" s="125">
        <v>3</v>
      </c>
      <c r="D560" s="108" t="s">
        <v>1671</v>
      </c>
      <c r="E560" s="108"/>
      <c r="F560" s="108"/>
      <c r="G560" s="108"/>
      <c r="H560" s="108"/>
      <c r="I560" s="1597"/>
      <c r="J560" s="1598"/>
      <c r="K560" s="1970">
        <f>H538</f>
        <v>0</v>
      </c>
      <c r="L560" s="2021"/>
      <c r="M560" s="1686">
        <f t="shared" si="58"/>
        <v>0</v>
      </c>
      <c r="N560" s="2021"/>
      <c r="O560" s="1688">
        <f t="shared" si="59"/>
        <v>0</v>
      </c>
      <c r="P560" s="1689"/>
      <c r="Q560" s="2032">
        <v>0</v>
      </c>
      <c r="R560" s="1640"/>
      <c r="S560" s="1598"/>
      <c r="T560" s="1970">
        <f>M538</f>
        <v>0</v>
      </c>
      <c r="U560" s="2020"/>
      <c r="V560" s="2021"/>
      <c r="W560" s="1686">
        <f t="shared" si="60"/>
        <v>0</v>
      </c>
      <c r="X560" s="2020"/>
      <c r="Y560" s="2021"/>
      <c r="Z560" s="1688">
        <f t="shared" si="61"/>
        <v>0</v>
      </c>
      <c r="AA560" s="1689"/>
      <c r="AB560" s="215"/>
      <c r="AC560" s="215"/>
    </row>
    <row r="561" spans="1:34" x14ac:dyDescent="0.3">
      <c r="A561" s="66"/>
      <c r="B561" s="126"/>
      <c r="C561" s="125">
        <v>4</v>
      </c>
      <c r="D561" s="108" t="s">
        <v>282</v>
      </c>
      <c r="E561" s="108"/>
      <c r="F561" s="108"/>
      <c r="G561" s="108"/>
      <c r="H561" s="108"/>
      <c r="I561" s="1597"/>
      <c r="J561" s="1598"/>
      <c r="K561" s="1970">
        <f>H516</f>
        <v>0</v>
      </c>
      <c r="L561" s="2021"/>
      <c r="M561" s="1686">
        <f t="shared" si="58"/>
        <v>0</v>
      </c>
      <c r="N561" s="2021"/>
      <c r="O561" s="1688">
        <f t="shared" si="59"/>
        <v>0</v>
      </c>
      <c r="P561" s="1689"/>
      <c r="Q561" s="2032"/>
      <c r="R561" s="1640"/>
      <c r="S561" s="1598"/>
      <c r="T561" s="1970">
        <f>M516</f>
        <v>0</v>
      </c>
      <c r="U561" s="2020"/>
      <c r="V561" s="2021"/>
      <c r="W561" s="1686">
        <f t="shared" si="60"/>
        <v>0</v>
      </c>
      <c r="X561" s="2020"/>
      <c r="Y561" s="2021"/>
      <c r="Z561" s="1688">
        <f t="shared" si="61"/>
        <v>0</v>
      </c>
      <c r="AA561" s="1689"/>
      <c r="AB561" s="215"/>
      <c r="AC561" s="215"/>
    </row>
    <row r="562" spans="1:34" x14ac:dyDescent="0.3">
      <c r="A562" s="66"/>
      <c r="B562" s="126"/>
      <c r="C562" s="125">
        <v>5</v>
      </c>
      <c r="D562" s="108" t="s">
        <v>283</v>
      </c>
      <c r="E562" s="108"/>
      <c r="F562" s="108"/>
      <c r="G562" s="108"/>
      <c r="H562" s="108"/>
      <c r="I562" s="1597"/>
      <c r="J562" s="1598"/>
      <c r="K562" s="1970">
        <v>0</v>
      </c>
      <c r="L562" s="2021"/>
      <c r="M562" s="1686">
        <f t="shared" si="58"/>
        <v>0</v>
      </c>
      <c r="N562" s="2021"/>
      <c r="O562" s="1688">
        <f t="shared" si="59"/>
        <v>0</v>
      </c>
      <c r="P562" s="1689"/>
      <c r="Q562" s="1989">
        <v>0</v>
      </c>
      <c r="R562" s="2020"/>
      <c r="S562" s="2021"/>
      <c r="T562" s="1970">
        <v>0</v>
      </c>
      <c r="U562" s="2020"/>
      <c r="V562" s="2021"/>
      <c r="W562" s="1686">
        <f t="shared" si="60"/>
        <v>0</v>
      </c>
      <c r="X562" s="2020"/>
      <c r="Y562" s="2021"/>
      <c r="Z562" s="1688">
        <f t="shared" si="61"/>
        <v>0</v>
      </c>
      <c r="AA562" s="1689"/>
      <c r="AB562" s="215"/>
      <c r="AC562" s="215"/>
    </row>
    <row r="563" spans="1:34" x14ac:dyDescent="0.3">
      <c r="A563" s="66"/>
      <c r="B563" s="126"/>
      <c r="C563" s="125">
        <v>6</v>
      </c>
      <c r="D563" s="108" t="s">
        <v>284</v>
      </c>
      <c r="E563" s="108"/>
      <c r="F563" s="108"/>
      <c r="G563" s="108"/>
      <c r="H563" s="108"/>
      <c r="I563" s="1597"/>
      <c r="J563" s="1598"/>
      <c r="K563" s="1970">
        <v>0</v>
      </c>
      <c r="L563" s="2021"/>
      <c r="M563" s="1686">
        <f t="shared" si="58"/>
        <v>0</v>
      </c>
      <c r="N563" s="2021"/>
      <c r="O563" s="1688">
        <f t="shared" si="59"/>
        <v>0</v>
      </c>
      <c r="P563" s="1689"/>
      <c r="Q563" s="1989">
        <v>0</v>
      </c>
      <c r="R563" s="2020"/>
      <c r="S563" s="2021"/>
      <c r="T563" s="1970">
        <v>0</v>
      </c>
      <c r="U563" s="2020"/>
      <c r="V563" s="2021"/>
      <c r="W563" s="1686">
        <f t="shared" si="60"/>
        <v>0</v>
      </c>
      <c r="X563" s="2020"/>
      <c r="Y563" s="2021"/>
      <c r="Z563" s="1688">
        <f t="shared" si="61"/>
        <v>0</v>
      </c>
      <c r="AA563" s="1689"/>
      <c r="AB563" s="215"/>
      <c r="AC563" s="215"/>
    </row>
    <row r="564" spans="1:34" x14ac:dyDescent="0.3">
      <c r="A564" s="66"/>
      <c r="B564" s="126"/>
      <c r="C564" s="1683" t="s">
        <v>68</v>
      </c>
      <c r="D564" s="1684"/>
      <c r="E564" s="1684"/>
      <c r="F564" s="1684"/>
      <c r="G564" s="1684"/>
      <c r="H564" s="1685"/>
      <c r="I564" s="1138"/>
      <c r="J564" s="1239"/>
      <c r="K564" s="1138"/>
      <c r="L564" s="1239"/>
      <c r="M564" s="1181"/>
      <c r="N564" s="1239"/>
      <c r="O564" s="1141"/>
      <c r="P564" s="1240"/>
      <c r="Q564" s="1142"/>
      <c r="R564" s="1241"/>
      <c r="S564" s="1239"/>
      <c r="T564" s="1138"/>
      <c r="U564" s="1241"/>
      <c r="V564" s="1239"/>
      <c r="W564" s="1181"/>
      <c r="X564" s="1241"/>
      <c r="Y564" s="1239"/>
      <c r="Z564" s="1141"/>
      <c r="AA564" s="1240"/>
      <c r="AB564" s="215"/>
      <c r="AC564" s="215"/>
      <c r="AE564" s="341"/>
      <c r="AF564" s="341"/>
      <c r="AG564" s="341"/>
      <c r="AH564" s="341"/>
    </row>
    <row r="565" spans="1:34" x14ac:dyDescent="0.3">
      <c r="A565" s="66"/>
      <c r="B565" s="126"/>
      <c r="C565" s="125">
        <v>1</v>
      </c>
      <c r="D565" s="108" t="s">
        <v>1667</v>
      </c>
      <c r="E565" s="108"/>
      <c r="F565" s="108"/>
      <c r="G565" s="108"/>
      <c r="H565" s="108"/>
      <c r="I565" s="1597"/>
      <c r="J565" s="1598"/>
      <c r="K565" s="1138"/>
      <c r="L565" s="658">
        <f>H398</f>
        <v>0</v>
      </c>
      <c r="M565" s="1686">
        <f>L565-I565</f>
        <v>0</v>
      </c>
      <c r="N565" s="1687"/>
      <c r="O565" s="1688">
        <f t="shared" ref="O565:O570" si="62">IF(I565=0,0,(L565/I565)*100)</f>
        <v>0</v>
      </c>
      <c r="P565" s="1689"/>
      <c r="Q565" s="1597">
        <v>0</v>
      </c>
      <c r="R565" s="1640"/>
      <c r="S565" s="1598"/>
      <c r="T565" s="1594">
        <f>M398</f>
        <v>0</v>
      </c>
      <c r="U565" s="1595"/>
      <c r="V565" s="1596"/>
      <c r="W565" s="1686">
        <f>T565-Q565</f>
        <v>0</v>
      </c>
      <c r="X565" s="2020"/>
      <c r="Y565" s="2021"/>
      <c r="Z565" s="1688">
        <f t="shared" ref="Z565:Z570" si="63">IF(Q565=0,0,(T565/Q565)*100)</f>
        <v>0</v>
      </c>
      <c r="AA565" s="1689"/>
      <c r="AB565" s="215"/>
      <c r="AC565" s="215"/>
      <c r="AE565" s="341"/>
      <c r="AF565" s="341"/>
      <c r="AG565" s="341"/>
      <c r="AH565" s="341"/>
    </row>
    <row r="566" spans="1:34" x14ac:dyDescent="0.3">
      <c r="A566" s="66"/>
      <c r="B566" s="126"/>
      <c r="C566" s="125">
        <v>2</v>
      </c>
      <c r="D566" s="108" t="s">
        <v>1668</v>
      </c>
      <c r="E566" s="108"/>
      <c r="F566" s="108"/>
      <c r="G566" s="108"/>
      <c r="H566" s="108"/>
      <c r="I566" s="1597">
        <v>941160000</v>
      </c>
      <c r="J566" s="1599"/>
      <c r="K566" s="1138"/>
      <c r="L566" s="658">
        <f>H414</f>
        <v>933466500</v>
      </c>
      <c r="M566" s="1686">
        <f>L566-I566</f>
        <v>-7693500</v>
      </c>
      <c r="N566" s="1687"/>
      <c r="O566" s="1688">
        <f>IF(I566=0,0,(L566/I566)*100)</f>
        <v>99.182551319648098</v>
      </c>
      <c r="P566" s="1689"/>
      <c r="Q566" s="1597">
        <v>617860000</v>
      </c>
      <c r="R566" s="1640"/>
      <c r="S566" s="1598"/>
      <c r="T566" s="1594">
        <f>M414</f>
        <v>616795500</v>
      </c>
      <c r="U566" s="1595">
        <f>Q414</f>
        <v>0</v>
      </c>
      <c r="V566" s="1596">
        <f>R414</f>
        <v>0</v>
      </c>
      <c r="W566" s="1686">
        <f>T566-Q566</f>
        <v>-1064500</v>
      </c>
      <c r="X566" s="2020"/>
      <c r="Y566" s="2021"/>
      <c r="Z566" s="1688">
        <f t="shared" si="63"/>
        <v>99.82771177936749</v>
      </c>
      <c r="AA566" s="1689"/>
      <c r="AB566" s="215"/>
      <c r="AC566" s="215"/>
      <c r="AE566" s="341"/>
      <c r="AF566" s="341"/>
      <c r="AG566" s="341"/>
      <c r="AH566" s="341"/>
    </row>
    <row r="567" spans="1:34" x14ac:dyDescent="0.3">
      <c r="A567" s="66"/>
      <c r="B567" s="126"/>
      <c r="C567" s="125">
        <v>3</v>
      </c>
      <c r="D567" s="108" t="s">
        <v>1669</v>
      </c>
      <c r="E567" s="108"/>
      <c r="F567" s="108"/>
      <c r="G567" s="108"/>
      <c r="H567" s="108"/>
      <c r="I567" s="1597">
        <v>542120000</v>
      </c>
      <c r="J567" s="1598"/>
      <c r="K567" s="1138"/>
      <c r="L567" s="658">
        <f>H430</f>
        <v>536663050</v>
      </c>
      <c r="M567" s="1686">
        <f>L567-I567</f>
        <v>-5456950</v>
      </c>
      <c r="N567" s="1687"/>
      <c r="O567" s="1688">
        <f>IF(I567=0,0,(L567/I567)*100)</f>
        <v>98.993405519073264</v>
      </c>
      <c r="P567" s="1689"/>
      <c r="Q567" s="1597">
        <v>800553000</v>
      </c>
      <c r="R567" s="1640"/>
      <c r="S567" s="1598"/>
      <c r="T567" s="1594">
        <f>M430</f>
        <v>740762149</v>
      </c>
      <c r="U567" s="1595">
        <f>Q430</f>
        <v>0</v>
      </c>
      <c r="V567" s="1596">
        <f>R430</f>
        <v>0</v>
      </c>
      <c r="W567" s="1686">
        <f>T567-Q567</f>
        <v>-59790851</v>
      </c>
      <c r="X567" s="2020"/>
      <c r="Y567" s="2021"/>
      <c r="Z567" s="1688">
        <f t="shared" si="63"/>
        <v>92.531306359479018</v>
      </c>
      <c r="AA567" s="1689"/>
      <c r="AB567" s="215"/>
      <c r="AC567" s="215"/>
      <c r="AE567" s="341"/>
      <c r="AF567" s="341"/>
      <c r="AG567" s="341"/>
      <c r="AH567" s="341"/>
    </row>
    <row r="568" spans="1:34" x14ac:dyDescent="0.3">
      <c r="A568" s="66"/>
      <c r="B568" s="126"/>
      <c r="C568" s="125">
        <v>4</v>
      </c>
      <c r="D568" s="108" t="s">
        <v>1670</v>
      </c>
      <c r="E568" s="108"/>
      <c r="F568" s="108"/>
      <c r="G568" s="108"/>
      <c r="H568" s="108"/>
      <c r="I568" s="1597">
        <v>0</v>
      </c>
      <c r="J568" s="1598"/>
      <c r="K568" s="1138"/>
      <c r="L568" s="658">
        <f>H444+H458+H472</f>
        <v>0</v>
      </c>
      <c r="M568" s="1686">
        <f>L568-I568</f>
        <v>0</v>
      </c>
      <c r="N568" s="1687"/>
      <c r="O568" s="1688">
        <f t="shared" si="62"/>
        <v>0</v>
      </c>
      <c r="P568" s="1689"/>
      <c r="Q568" s="1597">
        <v>0</v>
      </c>
      <c r="R568" s="1640"/>
      <c r="S568" s="1598"/>
      <c r="T568" s="1594">
        <f>M444+M458+M472</f>
        <v>0</v>
      </c>
      <c r="U568" s="1595">
        <f>Q444+Q458+Q472</f>
        <v>0</v>
      </c>
      <c r="V568" s="1596">
        <f>R444+R458+R472</f>
        <v>0</v>
      </c>
      <c r="W568" s="1686">
        <f>T568-Q568</f>
        <v>0</v>
      </c>
      <c r="X568" s="2020"/>
      <c r="Y568" s="2021"/>
      <c r="Z568" s="1688">
        <f t="shared" si="63"/>
        <v>0</v>
      </c>
      <c r="AA568" s="1689"/>
      <c r="AB568" s="215"/>
      <c r="AC568" s="215"/>
      <c r="AE568" s="341"/>
      <c r="AF568" s="341"/>
      <c r="AG568" s="341"/>
      <c r="AH568" s="341"/>
    </row>
    <row r="569" spans="1:34" x14ac:dyDescent="0.3">
      <c r="A569" s="66"/>
      <c r="B569" s="126"/>
      <c r="C569" s="125">
        <v>5</v>
      </c>
      <c r="D569" s="108" t="s">
        <v>1672</v>
      </c>
      <c r="E569" s="108"/>
      <c r="F569" s="108"/>
      <c r="G569" s="108"/>
      <c r="H569" s="108"/>
      <c r="I569" s="1597"/>
      <c r="J569" s="1598"/>
      <c r="K569" s="1138"/>
      <c r="L569" s="658">
        <f>H481</f>
        <v>0</v>
      </c>
      <c r="M569" s="1686">
        <f>L569-I569</f>
        <v>0</v>
      </c>
      <c r="N569" s="1687"/>
      <c r="O569" s="1688">
        <f t="shared" si="62"/>
        <v>0</v>
      </c>
      <c r="P569" s="1689"/>
      <c r="Q569" s="1597">
        <v>0</v>
      </c>
      <c r="R569" s="1640"/>
      <c r="S569" s="1598"/>
      <c r="T569" s="1594">
        <f>M481</f>
        <v>0</v>
      </c>
      <c r="U569" s="1595">
        <f>Q481</f>
        <v>0</v>
      </c>
      <c r="V569" s="1596">
        <f>R481</f>
        <v>0</v>
      </c>
      <c r="W569" s="1686">
        <f>T569-Q569</f>
        <v>0</v>
      </c>
      <c r="X569" s="2020"/>
      <c r="Y569" s="2021"/>
      <c r="Z569" s="1688">
        <f t="shared" si="63"/>
        <v>0</v>
      </c>
      <c r="AA569" s="1689"/>
      <c r="AB569" s="215"/>
      <c r="AC569" s="215"/>
      <c r="AE569" s="341"/>
      <c r="AF569" s="341"/>
      <c r="AG569" s="341"/>
      <c r="AH569" s="341"/>
    </row>
    <row r="570" spans="1:34" x14ac:dyDescent="0.3">
      <c r="A570" s="66"/>
      <c r="B570" s="501"/>
      <c r="C570" s="502"/>
      <c r="D570" s="479"/>
      <c r="E570" s="479"/>
      <c r="F570" s="1045" t="s">
        <v>2018</v>
      </c>
      <c r="G570" s="479"/>
      <c r="H570" s="479"/>
      <c r="I570" s="1646">
        <f>SUM(I565:J569)</f>
        <v>1483280000</v>
      </c>
      <c r="J570" s="1647"/>
      <c r="K570" s="503"/>
      <c r="L570" s="1182">
        <f>SUM(L565:L569)</f>
        <v>1470129550</v>
      </c>
      <c r="M570" s="1686">
        <f>SUM(M565:N569)</f>
        <v>-13150450</v>
      </c>
      <c r="N570" s="1687"/>
      <c r="O570" s="1688">
        <f t="shared" si="62"/>
        <v>99.113420931988557</v>
      </c>
      <c r="P570" s="1689"/>
      <c r="Q570" s="1641">
        <f>SUM(Q565:S569)</f>
        <v>1418413000</v>
      </c>
      <c r="R570" s="1642"/>
      <c r="S570" s="1643"/>
      <c r="T570" s="1594">
        <f>SUM(T565:V569)</f>
        <v>1357557649</v>
      </c>
      <c r="U570" s="1595">
        <f>Q482</f>
        <v>0</v>
      </c>
      <c r="V570" s="1596">
        <f>R482</f>
        <v>0</v>
      </c>
      <c r="W570" s="1686">
        <f>SUM(W565:Y569)</f>
        <v>-60855351</v>
      </c>
      <c r="X570" s="2020"/>
      <c r="Y570" s="2021"/>
      <c r="Z570" s="1688">
        <f t="shared" si="63"/>
        <v>95.709616945135153</v>
      </c>
      <c r="AA570" s="1689"/>
      <c r="AB570" s="215"/>
      <c r="AC570" s="215"/>
      <c r="AE570" s="480"/>
      <c r="AF570" s="480"/>
      <c r="AG570" s="480"/>
      <c r="AH570" s="480"/>
    </row>
    <row r="571" spans="1:34" s="113" customFormat="1" ht="14.5" thickBot="1" x14ac:dyDescent="0.35">
      <c r="A571" s="109"/>
      <c r="B571" s="127"/>
      <c r="C571" s="128" t="s">
        <v>285</v>
      </c>
      <c r="D571" s="129"/>
      <c r="E571" s="129"/>
      <c r="F571" s="129"/>
      <c r="G571" s="129"/>
      <c r="H571" s="129"/>
      <c r="I571" s="1978">
        <f>SUM(I558:J569)</f>
        <v>11971966000</v>
      </c>
      <c r="J571" s="2007"/>
      <c r="K571" s="2025">
        <f>SUM(K558:L569)</f>
        <v>11431644723</v>
      </c>
      <c r="L571" s="2007"/>
      <c r="M571" s="2026">
        <f>K571-I571</f>
        <v>-540321277</v>
      </c>
      <c r="N571" s="2027"/>
      <c r="O571" s="1986">
        <f>K571/I571*100</f>
        <v>95.486779055336442</v>
      </c>
      <c r="P571" s="1689"/>
      <c r="Q571" s="2028">
        <f>SUM(Q558:Q569)</f>
        <v>11899336000</v>
      </c>
      <c r="R571" s="2029"/>
      <c r="S571" s="2007"/>
      <c r="T571" s="2025">
        <f>SUM(T558:T569)</f>
        <v>11492336050</v>
      </c>
      <c r="U571" s="2029"/>
      <c r="V571" s="2007"/>
      <c r="W571" s="2026">
        <f>T571-Q571</f>
        <v>-406999950</v>
      </c>
      <c r="X571" s="2029"/>
      <c r="Y571" s="2007"/>
      <c r="Z571" s="2030">
        <f>IF(Q571=0,0,(T571/Q571)*100)</f>
        <v>96.579641502685533</v>
      </c>
      <c r="AA571" s="2031"/>
      <c r="AB571" s="241"/>
      <c r="AC571" s="241"/>
    </row>
    <row r="572" spans="1:34" s="113" customFormat="1" ht="14.5" thickTop="1" x14ac:dyDescent="0.35">
      <c r="A572" s="109"/>
      <c r="B572" s="130"/>
      <c r="C572" s="131"/>
      <c r="D572" s="131"/>
      <c r="E572" s="131"/>
      <c r="F572" s="131"/>
      <c r="G572" s="131"/>
      <c r="H572" s="131"/>
      <c r="I572" s="132"/>
      <c r="J572" s="133"/>
      <c r="K572" s="133"/>
      <c r="L572" s="133"/>
      <c r="M572" s="134"/>
      <c r="N572" s="135"/>
      <c r="O572" s="136"/>
      <c r="P572" s="136"/>
      <c r="Q572" s="132"/>
      <c r="R572" s="133"/>
      <c r="S572" s="137"/>
      <c r="T572" s="133"/>
      <c r="U572" s="133"/>
      <c r="V572" s="133"/>
      <c r="W572" s="134"/>
      <c r="X572" s="138"/>
      <c r="Y572" s="135"/>
      <c r="Z572" s="136"/>
      <c r="AA572" s="139"/>
      <c r="AB572" s="241"/>
      <c r="AC572" s="241"/>
    </row>
    <row r="573" spans="1:34" s="113" customFormat="1" x14ac:dyDescent="0.3">
      <c r="A573" s="109"/>
      <c r="B573" s="140" t="s">
        <v>286</v>
      </c>
      <c r="C573" s="112" t="s">
        <v>287</v>
      </c>
      <c r="D573" s="112"/>
      <c r="E573" s="112"/>
      <c r="F573" s="112"/>
      <c r="G573" s="112"/>
      <c r="H573" s="112"/>
      <c r="I573" s="1970"/>
      <c r="J573" s="2021"/>
      <c r="K573" s="1242"/>
      <c r="L573" s="1242"/>
      <c r="M573" s="1686"/>
      <c r="N573" s="2021"/>
      <c r="O573" s="1243"/>
      <c r="P573" s="1243"/>
      <c r="Q573" s="1140"/>
      <c r="R573" s="1242"/>
      <c r="S573" s="1244"/>
      <c r="T573" s="1242"/>
      <c r="U573" s="1242"/>
      <c r="V573" s="1242"/>
      <c r="W573" s="1245"/>
      <c r="X573" s="1246"/>
      <c r="Y573" s="1247"/>
      <c r="Z573" s="1243"/>
      <c r="AA573" s="1248"/>
      <c r="AB573" s="241"/>
      <c r="AC573" s="241"/>
    </row>
    <row r="574" spans="1:34" s="113" customFormat="1" x14ac:dyDescent="0.3">
      <c r="A574" s="109"/>
      <c r="B574" s="149"/>
      <c r="C574" s="150">
        <v>1</v>
      </c>
      <c r="D574" s="150" t="s">
        <v>288</v>
      </c>
      <c r="E574" s="150"/>
      <c r="F574" s="112"/>
      <c r="G574" s="112"/>
      <c r="H574" s="112"/>
      <c r="I574" s="1597">
        <f>I571</f>
        <v>11971966000</v>
      </c>
      <c r="J574" s="1598"/>
      <c r="K574" s="1597">
        <f>K571</f>
        <v>11431644723</v>
      </c>
      <c r="L574" s="1598"/>
      <c r="M574" s="1686">
        <f t="shared" ref="M574:M579" si="64">K574-I574</f>
        <v>-540321277</v>
      </c>
      <c r="N574" s="2021"/>
      <c r="O574" s="1688">
        <f t="shared" ref="O574:O580" si="65">IF(I574=0,0,(K574/I574)*100)</f>
        <v>95.486779055336442</v>
      </c>
      <c r="P574" s="2021"/>
      <c r="Q574" s="1597">
        <f>Q571</f>
        <v>11899336000</v>
      </c>
      <c r="R574" s="1640"/>
      <c r="S574" s="1598"/>
      <c r="T574" s="1597">
        <f>T571</f>
        <v>11492336050</v>
      </c>
      <c r="U574" s="2024"/>
      <c r="V574" s="1599"/>
      <c r="W574" s="1686">
        <f>T574-Q574</f>
        <v>-406999950</v>
      </c>
      <c r="X574" s="2020"/>
      <c r="Y574" s="2021"/>
      <c r="Z574" s="1688">
        <f t="shared" ref="Z574:Z580" si="66">IF(Q574=0,0,(T574/Q574)*100)</f>
        <v>96.579641502685533</v>
      </c>
      <c r="AA574" s="1689"/>
      <c r="AB574" s="241"/>
      <c r="AC574" s="241"/>
    </row>
    <row r="575" spans="1:34" s="113" customFormat="1" x14ac:dyDescent="0.3">
      <c r="A575" s="109"/>
      <c r="B575" s="149"/>
      <c r="C575" s="150">
        <v>2</v>
      </c>
      <c r="D575" s="150" t="s">
        <v>289</v>
      </c>
      <c r="E575" s="150"/>
      <c r="F575" s="112"/>
      <c r="G575" s="112"/>
      <c r="H575" s="112"/>
      <c r="I575" s="1597">
        <v>0</v>
      </c>
      <c r="J575" s="1598"/>
      <c r="K575" s="1597">
        <v>0</v>
      </c>
      <c r="L575" s="1598"/>
      <c r="M575" s="1686">
        <f t="shared" si="64"/>
        <v>0</v>
      </c>
      <c r="N575" s="2021"/>
      <c r="O575" s="1688">
        <f t="shared" si="65"/>
        <v>0</v>
      </c>
      <c r="P575" s="2021"/>
      <c r="Q575" s="1597">
        <v>0</v>
      </c>
      <c r="R575" s="1640"/>
      <c r="S575" s="1598"/>
      <c r="T575" s="1597">
        <v>0</v>
      </c>
      <c r="U575" s="2024"/>
      <c r="V575" s="1599"/>
      <c r="W575" s="1686">
        <f>T575-Q575</f>
        <v>0</v>
      </c>
      <c r="X575" s="2020"/>
      <c r="Y575" s="2021"/>
      <c r="Z575" s="1688">
        <f t="shared" si="66"/>
        <v>0</v>
      </c>
      <c r="AA575" s="1689"/>
      <c r="AB575" s="241"/>
      <c r="AC575" s="241"/>
    </row>
    <row r="576" spans="1:34" s="113" customFormat="1" x14ac:dyDescent="0.3">
      <c r="A576" s="109"/>
      <c r="B576" s="149"/>
      <c r="C576" s="150">
        <v>3</v>
      </c>
      <c r="D576" s="150" t="s">
        <v>284</v>
      </c>
      <c r="E576" s="150"/>
      <c r="F576" s="112"/>
      <c r="G576" s="112"/>
      <c r="H576" s="112"/>
      <c r="I576" s="1597">
        <v>0</v>
      </c>
      <c r="J576" s="1598"/>
      <c r="K576" s="1597">
        <v>0</v>
      </c>
      <c r="L576" s="1598"/>
      <c r="M576" s="1686">
        <f t="shared" si="64"/>
        <v>0</v>
      </c>
      <c r="N576" s="2021"/>
      <c r="O576" s="1688">
        <f t="shared" si="65"/>
        <v>0</v>
      </c>
      <c r="P576" s="2021"/>
      <c r="Q576" s="1597">
        <v>0</v>
      </c>
      <c r="R576" s="1640"/>
      <c r="S576" s="1598"/>
      <c r="T576" s="1597">
        <v>0</v>
      </c>
      <c r="U576" s="2024"/>
      <c r="V576" s="1599"/>
      <c r="W576" s="1181"/>
      <c r="X576" s="1249"/>
      <c r="Y576" s="1250"/>
      <c r="Z576" s="1688">
        <f t="shared" si="66"/>
        <v>0</v>
      </c>
      <c r="AA576" s="1689"/>
      <c r="AB576" s="241"/>
      <c r="AC576" s="241"/>
    </row>
    <row r="577" spans="1:29" s="113" customFormat="1" x14ac:dyDescent="0.3">
      <c r="A577" s="109"/>
      <c r="B577" s="149"/>
      <c r="C577" s="150">
        <v>4</v>
      </c>
      <c r="D577" s="150" t="s">
        <v>290</v>
      </c>
      <c r="E577" s="150"/>
      <c r="F577" s="112"/>
      <c r="G577" s="112"/>
      <c r="H577" s="112"/>
      <c r="I577" s="1597">
        <v>0</v>
      </c>
      <c r="J577" s="1598"/>
      <c r="K577" s="1597">
        <v>0</v>
      </c>
      <c r="L577" s="1598"/>
      <c r="M577" s="1686">
        <f t="shared" si="64"/>
        <v>0</v>
      </c>
      <c r="N577" s="2021"/>
      <c r="O577" s="1688">
        <f t="shared" si="65"/>
        <v>0</v>
      </c>
      <c r="P577" s="2021"/>
      <c r="Q577" s="1597">
        <v>0</v>
      </c>
      <c r="R577" s="1640"/>
      <c r="S577" s="1598"/>
      <c r="T577" s="1597">
        <v>0</v>
      </c>
      <c r="U577" s="2024"/>
      <c r="V577" s="1599"/>
      <c r="W577" s="1686">
        <f>T577-Q577</f>
        <v>0</v>
      </c>
      <c r="X577" s="2020"/>
      <c r="Y577" s="2021"/>
      <c r="Z577" s="1688">
        <f t="shared" si="66"/>
        <v>0</v>
      </c>
      <c r="AA577" s="1689"/>
      <c r="AB577" s="241"/>
      <c r="AC577" s="241"/>
    </row>
    <row r="578" spans="1:29" s="113" customFormat="1" x14ac:dyDescent="0.3">
      <c r="A578" s="109"/>
      <c r="B578" s="149"/>
      <c r="C578" s="150">
        <v>5</v>
      </c>
      <c r="D578" s="150" t="s">
        <v>291</v>
      </c>
      <c r="E578" s="150"/>
      <c r="F578" s="112"/>
      <c r="G578" s="112"/>
      <c r="H578" s="112"/>
      <c r="I578" s="1597">
        <v>0</v>
      </c>
      <c r="J578" s="1598"/>
      <c r="K578" s="1597">
        <v>0</v>
      </c>
      <c r="L578" s="1598"/>
      <c r="M578" s="1686">
        <f t="shared" si="64"/>
        <v>0</v>
      </c>
      <c r="N578" s="2021"/>
      <c r="O578" s="1688">
        <f t="shared" si="65"/>
        <v>0</v>
      </c>
      <c r="P578" s="2021"/>
      <c r="Q578" s="1597">
        <v>0</v>
      </c>
      <c r="R578" s="1640"/>
      <c r="S578" s="1598"/>
      <c r="T578" s="1597">
        <v>0</v>
      </c>
      <c r="U578" s="2024"/>
      <c r="V578" s="1599"/>
      <c r="W578" s="1686">
        <f>T578-Q578</f>
        <v>0</v>
      </c>
      <c r="X578" s="2020"/>
      <c r="Y578" s="2021"/>
      <c r="Z578" s="1688">
        <f t="shared" si="66"/>
        <v>0</v>
      </c>
      <c r="AA578" s="1689"/>
      <c r="AB578" s="241"/>
      <c r="AC578" s="241"/>
    </row>
    <row r="579" spans="1:29" s="113" customFormat="1" x14ac:dyDescent="0.3">
      <c r="A579" s="109"/>
      <c r="B579" s="149"/>
      <c r="C579" s="150">
        <v>6</v>
      </c>
      <c r="D579" s="150" t="s">
        <v>292</v>
      </c>
      <c r="E579" s="150"/>
      <c r="F579" s="112"/>
      <c r="G579" s="112"/>
      <c r="H579" s="112"/>
      <c r="I579" s="1597">
        <v>0</v>
      </c>
      <c r="J579" s="1598"/>
      <c r="K579" s="1970">
        <f>H366+H492</f>
        <v>0</v>
      </c>
      <c r="L579" s="2021"/>
      <c r="M579" s="1686">
        <f t="shared" si="64"/>
        <v>0</v>
      </c>
      <c r="N579" s="2021"/>
      <c r="O579" s="1688">
        <f t="shared" si="65"/>
        <v>0</v>
      </c>
      <c r="P579" s="2021"/>
      <c r="Q579" s="1597">
        <v>0</v>
      </c>
      <c r="R579" s="1640"/>
      <c r="S579" s="1598"/>
      <c r="T579" s="1970">
        <f>M366+M492</f>
        <v>0</v>
      </c>
      <c r="U579" s="2022"/>
      <c r="V579" s="2023"/>
      <c r="W579" s="1686">
        <f>T579-Q579</f>
        <v>0</v>
      </c>
      <c r="X579" s="2020"/>
      <c r="Y579" s="2021"/>
      <c r="Z579" s="1688">
        <f t="shared" si="66"/>
        <v>0</v>
      </c>
      <c r="AA579" s="1689"/>
      <c r="AB579" s="241"/>
      <c r="AC579" s="241"/>
    </row>
    <row r="580" spans="1:29" s="113" customFormat="1" x14ac:dyDescent="0.3">
      <c r="A580" s="109"/>
      <c r="B580" s="149"/>
      <c r="C580" s="112"/>
      <c r="D580" s="112"/>
      <c r="E580" s="112"/>
      <c r="F580" s="112"/>
      <c r="G580" s="112"/>
      <c r="H580" s="112"/>
      <c r="I580" s="1970">
        <f>SUM(I574:J579)</f>
        <v>11971966000</v>
      </c>
      <c r="J580" s="2021"/>
      <c r="K580" s="1970">
        <f>SUM(K574:L579)</f>
        <v>11431644723</v>
      </c>
      <c r="L580" s="2021"/>
      <c r="M580" s="1686">
        <f>SUM(M574:N579)</f>
        <v>-540321277</v>
      </c>
      <c r="N580" s="2021"/>
      <c r="O580" s="1688">
        <f t="shared" si="65"/>
        <v>95.486779055336442</v>
      </c>
      <c r="P580" s="2021"/>
      <c r="Q580" s="1970">
        <f>SUM(Q574:S579)</f>
        <v>11899336000</v>
      </c>
      <c r="R580" s="2020"/>
      <c r="S580" s="2021"/>
      <c r="T580" s="1970">
        <f>SUM(T574:V579)</f>
        <v>11492336050</v>
      </c>
      <c r="U580" s="2020"/>
      <c r="V580" s="2021"/>
      <c r="W580" s="1686">
        <f>T580-Q580</f>
        <v>-406999950</v>
      </c>
      <c r="X580" s="2020"/>
      <c r="Y580" s="2021"/>
      <c r="Z580" s="1688">
        <f t="shared" si="66"/>
        <v>96.579641502685533</v>
      </c>
      <c r="AA580" s="1689"/>
      <c r="AB580" s="241"/>
      <c r="AC580" s="241"/>
    </row>
    <row r="581" spans="1:29" ht="14.5" thickBot="1" x14ac:dyDescent="0.35">
      <c r="A581" s="66"/>
      <c r="B581" s="156"/>
      <c r="C581" s="157"/>
      <c r="D581" s="157"/>
      <c r="E581" s="157"/>
      <c r="F581" s="157"/>
      <c r="G581" s="157"/>
      <c r="H581" s="157"/>
      <c r="I581" s="2006"/>
      <c r="J581" s="2007"/>
      <c r="K581" s="1251"/>
      <c r="L581" s="1251"/>
      <c r="M581" s="1252"/>
      <c r="N581" s="1253"/>
      <c r="O581" s="1251"/>
      <c r="P581" s="1251"/>
      <c r="Q581" s="1252"/>
      <c r="R581" s="1251"/>
      <c r="S581" s="1253"/>
      <c r="T581" s="1251"/>
      <c r="U581" s="1251"/>
      <c r="V581" s="1251"/>
      <c r="W581" s="1252"/>
      <c r="X581" s="1251"/>
      <c r="Y581" s="1253"/>
      <c r="Z581" s="1251"/>
      <c r="AA581" s="1254"/>
      <c r="AB581" s="215"/>
      <c r="AC581" s="215"/>
    </row>
    <row r="582" spans="1:29" ht="14.5" thickTop="1" x14ac:dyDescent="0.3">
      <c r="A582" s="66"/>
      <c r="B582" s="229"/>
      <c r="C582" s="229"/>
      <c r="D582" s="229"/>
      <c r="E582" s="229"/>
      <c r="F582" s="229"/>
      <c r="G582" s="229"/>
      <c r="H582" s="229"/>
      <c r="I582" s="229"/>
      <c r="J582" s="229"/>
      <c r="K582" s="229"/>
      <c r="L582" s="229"/>
      <c r="M582" s="229"/>
      <c r="N582" s="229"/>
      <c r="O582" s="229"/>
      <c r="P582" s="229"/>
      <c r="Q582" s="229"/>
      <c r="R582" s="229"/>
      <c r="S582" s="229"/>
      <c r="T582" s="229"/>
      <c r="U582" s="229"/>
      <c r="V582" s="229"/>
      <c r="W582" s="229"/>
      <c r="X582" s="229"/>
      <c r="Y582" s="229"/>
      <c r="Z582" s="229"/>
      <c r="AA582" s="229"/>
      <c r="AB582" s="229"/>
      <c r="AC582" s="229"/>
    </row>
    <row r="583" spans="1:29" x14ac:dyDescent="0.3">
      <c r="A583" s="66"/>
      <c r="B583" s="229"/>
      <c r="C583" s="229"/>
      <c r="D583" s="229"/>
      <c r="E583" s="229"/>
      <c r="F583" s="229"/>
      <c r="G583" s="229"/>
      <c r="H583" s="229"/>
      <c r="I583" s="229"/>
      <c r="J583" s="229"/>
      <c r="K583" s="229"/>
      <c r="L583" s="229"/>
      <c r="M583" s="229"/>
      <c r="N583" s="229"/>
      <c r="O583" s="229"/>
      <c r="P583" s="229"/>
      <c r="Q583" s="229"/>
      <c r="R583" s="229"/>
      <c r="S583" s="229"/>
      <c r="T583" s="229"/>
      <c r="U583" s="229"/>
      <c r="V583" s="229"/>
      <c r="W583" s="229"/>
      <c r="X583" s="229"/>
      <c r="Y583" s="229"/>
      <c r="Z583" s="229"/>
      <c r="AA583" s="229"/>
      <c r="AB583" s="229"/>
      <c r="AC583" s="229"/>
    </row>
    <row r="584" spans="1:29" ht="20" x14ac:dyDescent="0.4">
      <c r="A584" s="66"/>
      <c r="B584" s="2008" t="s">
        <v>353</v>
      </c>
      <c r="C584" s="2008"/>
      <c r="D584" s="2008"/>
      <c r="E584" s="2008"/>
      <c r="F584" s="2008"/>
      <c r="G584" s="2008"/>
      <c r="H584" s="2008"/>
      <c r="I584" s="2008"/>
      <c r="J584" s="2008"/>
      <c r="K584" s="2008"/>
      <c r="L584" s="2008"/>
      <c r="M584" s="2008"/>
      <c r="N584" s="2008"/>
      <c r="O584" s="2008"/>
      <c r="P584" s="2008"/>
      <c r="Q584" s="2008"/>
      <c r="R584" s="2008"/>
      <c r="S584" s="2008"/>
      <c r="T584" s="2008"/>
      <c r="U584" s="2008"/>
      <c r="V584" s="2008"/>
      <c r="W584" s="2008"/>
      <c r="X584" s="2008"/>
      <c r="Y584" s="2008"/>
      <c r="Z584" s="2008"/>
      <c r="AA584" s="2008"/>
      <c r="AB584" s="229"/>
      <c r="AC584" s="229"/>
    </row>
    <row r="585" spans="1:29" ht="20.5" thickBot="1" x14ac:dyDescent="0.45">
      <c r="A585" s="66"/>
      <c r="B585" s="2009"/>
      <c r="C585" s="2009"/>
      <c r="D585" s="2009"/>
      <c r="E585" s="2009"/>
      <c r="F585" s="2009"/>
      <c r="G585" s="2009"/>
      <c r="H585" s="2009"/>
      <c r="I585" s="2009"/>
      <c r="J585" s="2009"/>
      <c r="K585" s="2009"/>
      <c r="L585" s="2009"/>
      <c r="M585" s="2009"/>
      <c r="N585" s="2009"/>
      <c r="O585" s="2009"/>
      <c r="P585" s="2009"/>
      <c r="Q585" s="2009"/>
      <c r="R585" s="2009"/>
      <c r="S585" s="2009"/>
      <c r="T585" s="2009"/>
      <c r="U585" s="2009"/>
      <c r="V585" s="2009"/>
      <c r="W585" s="2009"/>
      <c r="X585" s="2009"/>
      <c r="Y585" s="2009"/>
      <c r="Z585" s="2009"/>
      <c r="AA585" s="2009"/>
      <c r="AB585" s="229"/>
      <c r="AC585" s="229"/>
    </row>
    <row r="586" spans="1:29" ht="16" thickTop="1" x14ac:dyDescent="0.35">
      <c r="A586" s="66"/>
      <c r="B586" s="2010" t="s">
        <v>143</v>
      </c>
      <c r="C586" s="2014" t="s">
        <v>264</v>
      </c>
      <c r="D586" s="2015"/>
      <c r="E586" s="2015"/>
      <c r="F586" s="2015"/>
      <c r="G586" s="2015"/>
      <c r="H586" s="2016"/>
      <c r="I586" s="2012" t="str">
        <f>$B$69</f>
        <v>31 Desember 2019</v>
      </c>
      <c r="J586" s="1927"/>
      <c r="K586" s="1927"/>
      <c r="L586" s="1927"/>
      <c r="M586" s="1927"/>
      <c r="N586" s="1927"/>
      <c r="O586" s="1927"/>
      <c r="P586" s="1929"/>
      <c r="Q586" s="2013" t="str">
        <f>$J$69</f>
        <v>31 Desember 2018</v>
      </c>
      <c r="R586" s="1927"/>
      <c r="S586" s="1927"/>
      <c r="T586" s="1927"/>
      <c r="U586" s="1927"/>
      <c r="V586" s="1927"/>
      <c r="W586" s="1927"/>
      <c r="X586" s="1927"/>
      <c r="Y586" s="1927"/>
      <c r="Z586" s="1927"/>
      <c r="AA586" s="1929"/>
      <c r="AB586" s="215"/>
      <c r="AC586" s="215"/>
    </row>
    <row r="587" spans="1:29" ht="31.5" customHeight="1" x14ac:dyDescent="0.35">
      <c r="A587" s="66"/>
      <c r="B587" s="2011"/>
      <c r="C587" s="2017"/>
      <c r="D587" s="2018"/>
      <c r="E587" s="2018"/>
      <c r="F587" s="2018"/>
      <c r="G587" s="2018"/>
      <c r="H587" s="2019"/>
      <c r="I587" s="1996" t="s">
        <v>265</v>
      </c>
      <c r="J587" s="1919"/>
      <c r="K587" s="1996" t="s">
        <v>266</v>
      </c>
      <c r="L587" s="1919"/>
      <c r="M587" s="1999" t="s">
        <v>267</v>
      </c>
      <c r="N587" s="1919"/>
      <c r="O587" s="1999" t="s">
        <v>268</v>
      </c>
      <c r="P587" s="1917"/>
      <c r="Q587" s="1994" t="s">
        <v>265</v>
      </c>
      <c r="R587" s="1995"/>
      <c r="S587" s="1919"/>
      <c r="T587" s="1996" t="s">
        <v>266</v>
      </c>
      <c r="U587" s="1997"/>
      <c r="V587" s="1998"/>
      <c r="W587" s="1999" t="s">
        <v>267</v>
      </c>
      <c r="X587" s="1995"/>
      <c r="Y587" s="1919"/>
      <c r="Z587" s="1999" t="s">
        <v>268</v>
      </c>
      <c r="AA587" s="1917"/>
      <c r="AB587" s="215"/>
      <c r="AC587" s="215"/>
    </row>
    <row r="588" spans="1:29" ht="15.5" x14ac:dyDescent="0.35">
      <c r="A588" s="66"/>
      <c r="B588" s="93">
        <v>1</v>
      </c>
      <c r="C588" s="2000">
        <v>2</v>
      </c>
      <c r="D588" s="2004"/>
      <c r="E588" s="2004"/>
      <c r="F588" s="2004"/>
      <c r="G588" s="2004"/>
      <c r="H588" s="2005"/>
      <c r="I588" s="2000">
        <v>3</v>
      </c>
      <c r="J588" s="2001"/>
      <c r="K588" s="2000">
        <v>4</v>
      </c>
      <c r="L588" s="2001"/>
      <c r="M588" s="94">
        <v>5</v>
      </c>
      <c r="N588" s="95"/>
      <c r="O588" s="1990">
        <v>6</v>
      </c>
      <c r="P588" s="1991"/>
      <c r="Q588" s="2002">
        <v>3</v>
      </c>
      <c r="R588" s="2003"/>
      <c r="S588" s="2001"/>
      <c r="T588" s="2000">
        <v>4</v>
      </c>
      <c r="U588" s="2004"/>
      <c r="V588" s="2005"/>
      <c r="W588" s="1990">
        <v>5</v>
      </c>
      <c r="X588" s="2003"/>
      <c r="Y588" s="2001"/>
      <c r="Z588" s="1990">
        <v>6</v>
      </c>
      <c r="AA588" s="1991"/>
      <c r="AB588" s="215"/>
      <c r="AC588" s="215"/>
    </row>
    <row r="589" spans="1:29" ht="15.5" x14ac:dyDescent="0.35">
      <c r="A589" s="66"/>
      <c r="B589" s="96" t="s">
        <v>269</v>
      </c>
      <c r="C589" s="97" t="s">
        <v>270</v>
      </c>
      <c r="D589" s="98"/>
      <c r="E589" s="98"/>
      <c r="F589" s="98"/>
      <c r="G589" s="98"/>
      <c r="H589" s="98"/>
      <c r="I589" s="1992"/>
      <c r="J589" s="1993"/>
      <c r="K589" s="1992"/>
      <c r="L589" s="1993"/>
      <c r="M589" s="99"/>
      <c r="N589" s="99"/>
      <c r="O589" s="100"/>
      <c r="P589" s="101"/>
      <c r="Q589" s="102"/>
      <c r="R589" s="99"/>
      <c r="S589" s="99"/>
      <c r="T589" s="103"/>
      <c r="U589" s="99"/>
      <c r="V589" s="104"/>
      <c r="W589" s="99"/>
      <c r="X589" s="99"/>
      <c r="Y589" s="99"/>
      <c r="Z589" s="100"/>
      <c r="AA589" s="105"/>
      <c r="AB589" s="215"/>
      <c r="AC589" s="215"/>
    </row>
    <row r="590" spans="1:29" ht="15.5" x14ac:dyDescent="0.35">
      <c r="A590" s="66"/>
      <c r="B590" s="106"/>
      <c r="C590" s="107" t="s">
        <v>271</v>
      </c>
      <c r="D590" s="108" t="s">
        <v>272</v>
      </c>
      <c r="E590" s="108"/>
      <c r="F590" s="108"/>
      <c r="G590" s="108"/>
      <c r="H590" s="108"/>
      <c r="I590" s="1970">
        <f>I591+I592</f>
        <v>0</v>
      </c>
      <c r="J590" s="1678"/>
      <c r="K590" s="1970">
        <f>K591+K592</f>
        <v>3299999</v>
      </c>
      <c r="L590" s="1678"/>
      <c r="M590" s="1686">
        <f t="shared" ref="M590:M598" si="67">K590-I590</f>
        <v>3299999</v>
      </c>
      <c r="N590" s="1969"/>
      <c r="O590" s="1688">
        <f t="shared" ref="O590:O598" si="68">IF(I590=0,0,(K590/I590)*100)</f>
        <v>0</v>
      </c>
      <c r="P590" s="1652"/>
      <c r="Q590" s="1989">
        <f>Q591+Q592</f>
        <v>0</v>
      </c>
      <c r="R590" s="1952"/>
      <c r="S590" s="1678"/>
      <c r="T590" s="1970">
        <f>T591+T592</f>
        <v>900000</v>
      </c>
      <c r="U590" s="1952"/>
      <c r="V590" s="1678"/>
      <c r="W590" s="1977">
        <f t="shared" ref="W590:W598" si="69">T590-Q590</f>
        <v>900000</v>
      </c>
      <c r="X590" s="1952"/>
      <c r="Y590" s="1678"/>
      <c r="Z590" s="1688">
        <f t="shared" ref="Z590:Z598" si="70">IF(Q590=0,0,(T590/Q590)*100)</f>
        <v>0</v>
      </c>
      <c r="AA590" s="1652"/>
      <c r="AB590" s="215"/>
      <c r="AC590" s="215"/>
    </row>
    <row r="591" spans="1:29" ht="15.5" x14ac:dyDescent="0.35">
      <c r="A591" s="66"/>
      <c r="B591" s="106"/>
      <c r="C591" s="107"/>
      <c r="D591" s="108" t="s">
        <v>125</v>
      </c>
      <c r="E591" s="108" t="s">
        <v>273</v>
      </c>
      <c r="F591" s="108"/>
      <c r="G591" s="108"/>
      <c r="H591" s="108"/>
      <c r="I591" s="1970">
        <f>I547</f>
        <v>0</v>
      </c>
      <c r="J591" s="1678"/>
      <c r="K591" s="1970">
        <f>$P$49</f>
        <v>0</v>
      </c>
      <c r="L591" s="1678"/>
      <c r="M591" s="1686">
        <f t="shared" si="67"/>
        <v>0</v>
      </c>
      <c r="N591" s="1969"/>
      <c r="O591" s="1688">
        <f t="shared" si="68"/>
        <v>0</v>
      </c>
      <c r="P591" s="1652"/>
      <c r="Q591" s="1989">
        <f>Q547</f>
        <v>0</v>
      </c>
      <c r="R591" s="1952"/>
      <c r="S591" s="1678"/>
      <c r="T591" s="1970">
        <f>$W$49</f>
        <v>0</v>
      </c>
      <c r="U591" s="1952"/>
      <c r="V591" s="1678"/>
      <c r="W591" s="1977">
        <f t="shared" si="69"/>
        <v>0</v>
      </c>
      <c r="X591" s="1952"/>
      <c r="Y591" s="1678"/>
      <c r="Z591" s="1688">
        <f t="shared" si="70"/>
        <v>0</v>
      </c>
      <c r="AA591" s="1652"/>
      <c r="AB591" s="215"/>
      <c r="AC591" s="215"/>
    </row>
    <row r="592" spans="1:29" ht="15.5" x14ac:dyDescent="0.35">
      <c r="A592" s="66"/>
      <c r="B592" s="106"/>
      <c r="C592" s="107"/>
      <c r="D592" s="108" t="s">
        <v>126</v>
      </c>
      <c r="E592" s="108" t="s">
        <v>62</v>
      </c>
      <c r="F592" s="108"/>
      <c r="G592" s="108"/>
      <c r="H592" s="108"/>
      <c r="I592" s="1970">
        <f>SUM(I593:J596)</f>
        <v>0</v>
      </c>
      <c r="J592" s="1678"/>
      <c r="K592" s="1970">
        <f>SUM(K593:L596)</f>
        <v>3299999</v>
      </c>
      <c r="L592" s="1678"/>
      <c r="M592" s="1686">
        <f t="shared" si="67"/>
        <v>3299999</v>
      </c>
      <c r="N592" s="1969"/>
      <c r="O592" s="1688">
        <f t="shared" si="68"/>
        <v>0</v>
      </c>
      <c r="P592" s="1652"/>
      <c r="Q592" s="1989">
        <f>SUM(Q593:S596)</f>
        <v>0</v>
      </c>
      <c r="R592" s="1952"/>
      <c r="S592" s="1678"/>
      <c r="T592" s="1970">
        <f>SUM(T593:V596)</f>
        <v>900000</v>
      </c>
      <c r="U592" s="1952"/>
      <c r="V592" s="1678"/>
      <c r="W592" s="1977">
        <f t="shared" si="69"/>
        <v>900000</v>
      </c>
      <c r="X592" s="1952"/>
      <c r="Y592" s="1678"/>
      <c r="Z592" s="1688">
        <f t="shared" si="70"/>
        <v>0</v>
      </c>
      <c r="AA592" s="1652"/>
      <c r="AB592" s="215"/>
      <c r="AC592" s="215"/>
    </row>
    <row r="593" spans="1:29" ht="15.5" x14ac:dyDescent="0.35">
      <c r="A593" s="66"/>
      <c r="B593" s="106"/>
      <c r="C593" s="107"/>
      <c r="D593" s="108"/>
      <c r="E593" s="108" t="s">
        <v>274</v>
      </c>
      <c r="F593" s="108" t="s">
        <v>275</v>
      </c>
      <c r="G593" s="108"/>
      <c r="H593" s="108"/>
      <c r="I593" s="1970">
        <f>I549</f>
        <v>0</v>
      </c>
      <c r="J593" s="1678"/>
      <c r="K593" s="1970">
        <v>0</v>
      </c>
      <c r="L593" s="1678"/>
      <c r="M593" s="1686">
        <f t="shared" si="67"/>
        <v>0</v>
      </c>
      <c r="N593" s="1969"/>
      <c r="O593" s="1688">
        <f t="shared" si="68"/>
        <v>0</v>
      </c>
      <c r="P593" s="1652"/>
      <c r="Q593" s="1989">
        <f>Q549</f>
        <v>0</v>
      </c>
      <c r="R593" s="1952"/>
      <c r="S593" s="1678"/>
      <c r="T593" s="1970">
        <v>0</v>
      </c>
      <c r="U593" s="1952"/>
      <c r="V593" s="1678"/>
      <c r="W593" s="1977">
        <f t="shared" si="69"/>
        <v>0</v>
      </c>
      <c r="X593" s="1952"/>
      <c r="Y593" s="1678"/>
      <c r="Z593" s="1688">
        <f t="shared" si="70"/>
        <v>0</v>
      </c>
      <c r="AA593" s="1652"/>
      <c r="AB593" s="215"/>
      <c r="AC593" s="215"/>
    </row>
    <row r="594" spans="1:29" ht="15.5" x14ac:dyDescent="0.35">
      <c r="A594" s="66"/>
      <c r="B594" s="106"/>
      <c r="C594" s="107"/>
      <c r="D594" s="108"/>
      <c r="E594" s="108" t="s">
        <v>274</v>
      </c>
      <c r="F594" s="108" t="s">
        <v>276</v>
      </c>
      <c r="G594" s="108"/>
      <c r="H594" s="108"/>
      <c r="I594" s="1970">
        <f>I550</f>
        <v>0</v>
      </c>
      <c r="J594" s="1678"/>
      <c r="K594" s="1970">
        <v>0</v>
      </c>
      <c r="L594" s="1678"/>
      <c r="M594" s="1686">
        <f t="shared" si="67"/>
        <v>0</v>
      </c>
      <c r="N594" s="1969"/>
      <c r="O594" s="1688">
        <f t="shared" si="68"/>
        <v>0</v>
      </c>
      <c r="P594" s="1652"/>
      <c r="Q594" s="1989">
        <f>Q550</f>
        <v>0</v>
      </c>
      <c r="R594" s="1952"/>
      <c r="S594" s="1678"/>
      <c r="T594" s="1970">
        <v>0</v>
      </c>
      <c r="U594" s="1952"/>
      <c r="V594" s="1678"/>
      <c r="W594" s="1977">
        <f t="shared" si="69"/>
        <v>0</v>
      </c>
      <c r="X594" s="1952"/>
      <c r="Y594" s="1678"/>
      <c r="Z594" s="1688">
        <f t="shared" si="70"/>
        <v>0</v>
      </c>
      <c r="AA594" s="1652"/>
      <c r="AB594" s="215"/>
      <c r="AC594" s="215"/>
    </row>
    <row r="595" spans="1:29" ht="15.5" x14ac:dyDescent="0.35">
      <c r="A595" s="66"/>
      <c r="B595" s="106"/>
      <c r="C595" s="107"/>
      <c r="D595" s="108"/>
      <c r="E595" s="108" t="s">
        <v>274</v>
      </c>
      <c r="F595" s="108" t="s">
        <v>277</v>
      </c>
      <c r="G595" s="108"/>
      <c r="H595" s="108"/>
      <c r="I595" s="1970">
        <f>I551</f>
        <v>0</v>
      </c>
      <c r="J595" s="1678"/>
      <c r="K595" s="1970">
        <f>$P$38</f>
        <v>3299999</v>
      </c>
      <c r="L595" s="1678"/>
      <c r="M595" s="1686">
        <f t="shared" si="67"/>
        <v>3299999</v>
      </c>
      <c r="N595" s="1969"/>
      <c r="O595" s="1688">
        <f t="shared" si="68"/>
        <v>0</v>
      </c>
      <c r="P595" s="1652"/>
      <c r="Q595" s="1989">
        <f>Q551</f>
        <v>0</v>
      </c>
      <c r="R595" s="1952"/>
      <c r="S595" s="1678"/>
      <c r="T595" s="1970">
        <f>$W$38</f>
        <v>900000</v>
      </c>
      <c r="U595" s="1952"/>
      <c r="V595" s="1678"/>
      <c r="W595" s="1977">
        <f t="shared" si="69"/>
        <v>900000</v>
      </c>
      <c r="X595" s="1952"/>
      <c r="Y595" s="1678"/>
      <c r="Z595" s="1688">
        <f t="shared" si="70"/>
        <v>0</v>
      </c>
      <c r="AA595" s="1652"/>
      <c r="AB595" s="215"/>
      <c r="AC595" s="215"/>
    </row>
    <row r="596" spans="1:29" ht="15.5" x14ac:dyDescent="0.35">
      <c r="A596" s="66"/>
      <c r="B596" s="106"/>
      <c r="C596" s="107"/>
      <c r="D596" s="108"/>
      <c r="E596" s="108" t="s">
        <v>274</v>
      </c>
      <c r="F596" s="108" t="s">
        <v>278</v>
      </c>
      <c r="G596" s="108"/>
      <c r="H596" s="108"/>
      <c r="I596" s="1970">
        <f>I552</f>
        <v>0</v>
      </c>
      <c r="J596" s="1678"/>
      <c r="K596" s="1970">
        <f>$K$58</f>
        <v>0</v>
      </c>
      <c r="L596" s="1678"/>
      <c r="M596" s="1686">
        <f t="shared" si="67"/>
        <v>0</v>
      </c>
      <c r="N596" s="1969"/>
      <c r="O596" s="1688">
        <f t="shared" si="68"/>
        <v>0</v>
      </c>
      <c r="P596" s="1652"/>
      <c r="Q596" s="1989">
        <f>Q552</f>
        <v>0</v>
      </c>
      <c r="R596" s="1952"/>
      <c r="S596" s="1678"/>
      <c r="T596" s="1970">
        <f>$M$58</f>
        <v>0</v>
      </c>
      <c r="U596" s="1952"/>
      <c r="V596" s="1678"/>
      <c r="W596" s="1977">
        <f t="shared" si="69"/>
        <v>0</v>
      </c>
      <c r="X596" s="1952"/>
      <c r="Y596" s="1678"/>
      <c r="Z596" s="1688">
        <f t="shared" si="70"/>
        <v>0</v>
      </c>
      <c r="AA596" s="1652"/>
      <c r="AB596" s="215"/>
      <c r="AC596" s="215"/>
    </row>
    <row r="597" spans="1:29" ht="15.5" x14ac:dyDescent="0.35">
      <c r="A597" s="66"/>
      <c r="B597" s="106"/>
      <c r="C597" s="107" t="s">
        <v>65</v>
      </c>
      <c r="D597" s="108" t="s">
        <v>279</v>
      </c>
      <c r="E597" s="108"/>
      <c r="F597" s="108"/>
      <c r="G597" s="108"/>
      <c r="H597" s="108"/>
      <c r="I597" s="1970">
        <v>0</v>
      </c>
      <c r="J597" s="1678"/>
      <c r="K597" s="1970">
        <f>$P$65</f>
        <v>0</v>
      </c>
      <c r="L597" s="1678"/>
      <c r="M597" s="1686">
        <f t="shared" si="67"/>
        <v>0</v>
      </c>
      <c r="N597" s="1969"/>
      <c r="O597" s="1688">
        <f t="shared" si="68"/>
        <v>0</v>
      </c>
      <c r="P597" s="1652"/>
      <c r="Q597" s="1989">
        <v>0</v>
      </c>
      <c r="R597" s="1952"/>
      <c r="S597" s="1678"/>
      <c r="T597" s="1970">
        <f>$W$65</f>
        <v>0</v>
      </c>
      <c r="U597" s="1952"/>
      <c r="V597" s="1678"/>
      <c r="W597" s="1977">
        <f t="shared" si="69"/>
        <v>0</v>
      </c>
      <c r="X597" s="1952"/>
      <c r="Y597" s="1678"/>
      <c r="Z597" s="1688">
        <f t="shared" si="70"/>
        <v>0</v>
      </c>
      <c r="AA597" s="1652"/>
      <c r="AB597" s="215"/>
      <c r="AC597" s="215"/>
    </row>
    <row r="598" spans="1:29" ht="15.5" x14ac:dyDescent="0.35">
      <c r="A598" s="66"/>
      <c r="B598" s="110"/>
      <c r="C598" s="111" t="s">
        <v>280</v>
      </c>
      <c r="D598" s="112"/>
      <c r="E598" s="112"/>
      <c r="F598" s="112"/>
      <c r="G598" s="112"/>
      <c r="H598" s="112"/>
      <c r="I598" s="1970">
        <f>I590+I597</f>
        <v>0</v>
      </c>
      <c r="J598" s="1678"/>
      <c r="K598" s="1970">
        <f>K590+K597</f>
        <v>3299999</v>
      </c>
      <c r="L598" s="1678"/>
      <c r="M598" s="1686">
        <f t="shared" si="67"/>
        <v>3299999</v>
      </c>
      <c r="N598" s="1969"/>
      <c r="O598" s="1986">
        <f t="shared" si="68"/>
        <v>0</v>
      </c>
      <c r="P598" s="1652"/>
      <c r="Q598" s="1987">
        <f>Q590+Q597</f>
        <v>0</v>
      </c>
      <c r="R598" s="1952"/>
      <c r="S598" s="1678"/>
      <c r="T598" s="1988">
        <f>T590+T597</f>
        <v>900000</v>
      </c>
      <c r="U598" s="1952"/>
      <c r="V598" s="1678"/>
      <c r="W598" s="1985">
        <f t="shared" si="69"/>
        <v>900000</v>
      </c>
      <c r="X598" s="1952"/>
      <c r="Y598" s="1678"/>
      <c r="Z598" s="1986">
        <f t="shared" si="70"/>
        <v>0</v>
      </c>
      <c r="AA598" s="1652"/>
      <c r="AB598" s="215"/>
      <c r="AC598" s="215"/>
    </row>
    <row r="599" spans="1:29" ht="15.5" x14ac:dyDescent="0.35">
      <c r="A599" s="66"/>
      <c r="B599" s="114"/>
      <c r="C599" s="107"/>
      <c r="D599" s="108"/>
      <c r="E599" s="108"/>
      <c r="F599" s="108"/>
      <c r="G599" s="108"/>
      <c r="H599" s="108"/>
      <c r="I599" s="1970"/>
      <c r="J599" s="1678"/>
      <c r="K599" s="115"/>
      <c r="L599" s="116"/>
      <c r="M599" s="1139"/>
      <c r="N599" s="1139"/>
      <c r="O599" s="118"/>
      <c r="P599" s="119"/>
      <c r="Q599" s="120"/>
      <c r="R599" s="121"/>
      <c r="S599" s="121"/>
      <c r="T599" s="115"/>
      <c r="U599" s="121"/>
      <c r="V599" s="116"/>
      <c r="W599" s="117"/>
      <c r="X599" s="117"/>
      <c r="Y599" s="117"/>
      <c r="Z599" s="118"/>
      <c r="AA599" s="122"/>
      <c r="AB599" s="215"/>
      <c r="AC599" s="215"/>
    </row>
    <row r="600" spans="1:29" ht="15.5" x14ac:dyDescent="0.35">
      <c r="A600" s="66"/>
      <c r="B600" s="114" t="s">
        <v>281</v>
      </c>
      <c r="C600" s="107" t="s">
        <v>63</v>
      </c>
      <c r="D600" s="108"/>
      <c r="E600" s="108"/>
      <c r="F600" s="108"/>
      <c r="G600" s="108"/>
      <c r="H600" s="108"/>
      <c r="I600" s="1970"/>
      <c r="J600" s="1678"/>
      <c r="K600" s="123"/>
      <c r="L600" s="124"/>
      <c r="M600" s="117"/>
      <c r="N600" s="117"/>
      <c r="O600" s="118"/>
      <c r="P600" s="119"/>
      <c r="Q600" s="120"/>
      <c r="R600" s="121"/>
      <c r="S600" s="121"/>
      <c r="T600" s="115"/>
      <c r="U600" s="121"/>
      <c r="V600" s="116"/>
      <c r="W600" s="117"/>
      <c r="X600" s="117"/>
      <c r="Y600" s="117"/>
      <c r="Z600" s="118"/>
      <c r="AA600" s="122"/>
      <c r="AB600" s="215"/>
      <c r="AC600" s="215"/>
    </row>
    <row r="601" spans="1:29" ht="15.5" x14ac:dyDescent="0.35">
      <c r="A601" s="66"/>
      <c r="B601" s="114"/>
      <c r="C601" s="125">
        <v>1</v>
      </c>
      <c r="D601" s="108" t="s">
        <v>64</v>
      </c>
      <c r="E601" s="108"/>
      <c r="F601" s="108"/>
      <c r="G601" s="108"/>
      <c r="H601" s="108"/>
      <c r="I601" s="1970">
        <f t="shared" ref="I601:I606" si="71">I558</f>
        <v>3443983000</v>
      </c>
      <c r="J601" s="1678"/>
      <c r="K601" s="1970">
        <f>SUM(H72:H134)</f>
        <v>3316366778</v>
      </c>
      <c r="L601" s="1678"/>
      <c r="M601" s="1686">
        <f t="shared" ref="M601:M608" si="72">K601-I601</f>
        <v>-127616222</v>
      </c>
      <c r="N601" s="1969"/>
      <c r="O601" s="1651">
        <f t="shared" ref="O601:O607" si="73">IF(I601=0,0,(K601/I601)*100)</f>
        <v>96.294516494419398</v>
      </c>
      <c r="P601" s="1652"/>
      <c r="Q601" s="1984">
        <f t="shared" ref="Q601:Q607" si="74">Q558</f>
        <v>3543038000</v>
      </c>
      <c r="R601" s="1952"/>
      <c r="S601" s="1678"/>
      <c r="T601" s="1872">
        <f>SUM(Z149)</f>
        <v>3415029601</v>
      </c>
      <c r="U601" s="1971"/>
      <c r="V601" s="1972"/>
      <c r="W601" s="1983">
        <f t="shared" ref="W601:W608" si="75">T601-Q601</f>
        <v>-128008399</v>
      </c>
      <c r="X601" s="1952"/>
      <c r="Y601" s="1678"/>
      <c r="Z601" s="1651">
        <f t="shared" ref="Z601:Z608" si="76">IF(Q601=0,0,(T601/Q601)*100)</f>
        <v>96.387044141214403</v>
      </c>
      <c r="AA601" s="1652"/>
      <c r="AB601" s="215"/>
      <c r="AC601" s="215"/>
    </row>
    <row r="602" spans="1:29" ht="15.5" x14ac:dyDescent="0.35">
      <c r="A602" s="66"/>
      <c r="B602" s="126"/>
      <c r="C602" s="125">
        <v>2</v>
      </c>
      <c r="D602" s="108" t="s">
        <v>66</v>
      </c>
      <c r="E602" s="108"/>
      <c r="F602" s="108"/>
      <c r="G602" s="108"/>
      <c r="H602" s="108"/>
      <c r="I602" s="1970">
        <f t="shared" si="71"/>
        <v>7044703000</v>
      </c>
      <c r="J602" s="1678"/>
      <c r="K602" s="1970">
        <f>W237</f>
        <v>6645148395</v>
      </c>
      <c r="L602" s="1678"/>
      <c r="M602" s="1686">
        <f t="shared" si="72"/>
        <v>-399554605</v>
      </c>
      <c r="N602" s="1969"/>
      <c r="O602" s="1651">
        <f t="shared" si="73"/>
        <v>94.328297374637373</v>
      </c>
      <c r="P602" s="1652"/>
      <c r="Q602" s="1984">
        <f t="shared" si="74"/>
        <v>6937885000</v>
      </c>
      <c r="R602" s="1952"/>
      <c r="S602" s="1678"/>
      <c r="T602" s="1872">
        <f>SUM(T559)</f>
        <v>6719748800</v>
      </c>
      <c r="U602" s="1952"/>
      <c r="V602" s="1678"/>
      <c r="W602" s="1983">
        <f t="shared" si="75"/>
        <v>-218136200</v>
      </c>
      <c r="X602" s="1952"/>
      <c r="Y602" s="1678"/>
      <c r="Z602" s="1651">
        <f t="shared" si="76"/>
        <v>96.855868899527735</v>
      </c>
      <c r="AA602" s="1652"/>
      <c r="AB602" s="215"/>
      <c r="AC602" s="215"/>
    </row>
    <row r="603" spans="1:29" ht="15.5" x14ac:dyDescent="0.35">
      <c r="A603" s="66"/>
      <c r="B603" s="126"/>
      <c r="C603" s="125">
        <v>3</v>
      </c>
      <c r="D603" s="108" t="s">
        <v>68</v>
      </c>
      <c r="E603" s="108"/>
      <c r="F603" s="108"/>
      <c r="G603" s="108"/>
      <c r="H603" s="108"/>
      <c r="I603" s="1970">
        <f>$I$570</f>
        <v>1483280000</v>
      </c>
      <c r="J603" s="1678"/>
      <c r="K603" s="1970">
        <f>D398+D414+D430+D444+D458+D472+D481+D492</f>
        <v>1470129550</v>
      </c>
      <c r="L603" s="1678"/>
      <c r="M603" s="1686">
        <f t="shared" si="72"/>
        <v>-13150450</v>
      </c>
      <c r="N603" s="1969"/>
      <c r="O603" s="1651">
        <f t="shared" si="73"/>
        <v>99.113420931988557</v>
      </c>
      <c r="P603" s="1652"/>
      <c r="Q603" s="1984">
        <f>Q570</f>
        <v>1418413000</v>
      </c>
      <c r="R603" s="1952"/>
      <c r="S603" s="1678"/>
      <c r="T603" s="1872">
        <f>J398+J414+J430+J444+J458+J472+J481+J492</f>
        <v>1357557649</v>
      </c>
      <c r="U603" s="1952"/>
      <c r="V603" s="1678"/>
      <c r="W603" s="1983">
        <f t="shared" si="75"/>
        <v>-60855351</v>
      </c>
      <c r="X603" s="1952"/>
      <c r="Y603" s="1678"/>
      <c r="Z603" s="1651">
        <f t="shared" si="76"/>
        <v>95.709616945135153</v>
      </c>
      <c r="AA603" s="1652"/>
      <c r="AB603" s="215"/>
      <c r="AC603" s="215"/>
    </row>
    <row r="604" spans="1:29" ht="15.5" x14ac:dyDescent="0.35">
      <c r="A604" s="66"/>
      <c r="B604" s="126"/>
      <c r="C604" s="125">
        <v>4</v>
      </c>
      <c r="D604" s="108" t="s">
        <v>282</v>
      </c>
      <c r="E604" s="108"/>
      <c r="F604" s="108"/>
      <c r="G604" s="108"/>
      <c r="H604" s="108"/>
      <c r="I604" s="1970">
        <f t="shared" si="71"/>
        <v>0</v>
      </c>
      <c r="J604" s="1678"/>
      <c r="K604" s="1970">
        <f>D516</f>
        <v>0</v>
      </c>
      <c r="L604" s="1678"/>
      <c r="M604" s="1686">
        <f t="shared" si="72"/>
        <v>0</v>
      </c>
      <c r="N604" s="1969"/>
      <c r="O604" s="1651">
        <f t="shared" si="73"/>
        <v>0</v>
      </c>
      <c r="P604" s="1652"/>
      <c r="Q604" s="1984">
        <f t="shared" si="74"/>
        <v>0</v>
      </c>
      <c r="R604" s="1952"/>
      <c r="S604" s="1678"/>
      <c r="T604" s="1872">
        <f>J516</f>
        <v>0</v>
      </c>
      <c r="U604" s="1952"/>
      <c r="V604" s="1678"/>
      <c r="W604" s="1983">
        <f t="shared" si="75"/>
        <v>0</v>
      </c>
      <c r="X604" s="1952"/>
      <c r="Y604" s="1678"/>
      <c r="Z604" s="1651">
        <f t="shared" si="76"/>
        <v>0</v>
      </c>
      <c r="AA604" s="1652"/>
      <c r="AB604" s="215"/>
      <c r="AC604" s="215"/>
    </row>
    <row r="605" spans="1:29" ht="15.5" x14ac:dyDescent="0.35">
      <c r="A605" s="66"/>
      <c r="B605" s="126"/>
      <c r="C605" s="125">
        <v>5</v>
      </c>
      <c r="D605" s="108" t="s">
        <v>283</v>
      </c>
      <c r="E605" s="108"/>
      <c r="F605" s="108"/>
      <c r="G605" s="108"/>
      <c r="H605" s="108"/>
      <c r="I605" s="1970">
        <f t="shared" si="71"/>
        <v>0</v>
      </c>
      <c r="J605" s="1678"/>
      <c r="K605" s="1970">
        <v>0</v>
      </c>
      <c r="L605" s="1678"/>
      <c r="M605" s="1686">
        <f t="shared" si="72"/>
        <v>0</v>
      </c>
      <c r="N605" s="1969"/>
      <c r="O605" s="1651">
        <f t="shared" si="73"/>
        <v>0</v>
      </c>
      <c r="P605" s="1652"/>
      <c r="Q605" s="1984">
        <f t="shared" si="74"/>
        <v>0</v>
      </c>
      <c r="R605" s="1952"/>
      <c r="S605" s="1678"/>
      <c r="T605" s="1872">
        <v>0</v>
      </c>
      <c r="U605" s="1952"/>
      <c r="V605" s="1678"/>
      <c r="W605" s="1983">
        <f t="shared" si="75"/>
        <v>0</v>
      </c>
      <c r="X605" s="1952"/>
      <c r="Y605" s="1678"/>
      <c r="Z605" s="1651">
        <f t="shared" si="76"/>
        <v>0</v>
      </c>
      <c r="AA605" s="1652"/>
      <c r="AB605" s="215"/>
      <c r="AC605" s="215"/>
    </row>
    <row r="606" spans="1:29" ht="15.5" x14ac:dyDescent="0.35">
      <c r="A606" s="66"/>
      <c r="B606" s="126"/>
      <c r="C606" s="125">
        <v>6</v>
      </c>
      <c r="D606" s="108" t="s">
        <v>284</v>
      </c>
      <c r="E606" s="108"/>
      <c r="F606" s="108"/>
      <c r="G606" s="108"/>
      <c r="H606" s="108"/>
      <c r="I606" s="1970">
        <f t="shared" si="71"/>
        <v>0</v>
      </c>
      <c r="J606" s="1678"/>
      <c r="K606" s="1970">
        <v>0</v>
      </c>
      <c r="L606" s="1678"/>
      <c r="M606" s="1686">
        <f t="shared" si="72"/>
        <v>0</v>
      </c>
      <c r="N606" s="1969"/>
      <c r="O606" s="1651">
        <f t="shared" si="73"/>
        <v>0</v>
      </c>
      <c r="P606" s="1652"/>
      <c r="Q606" s="1984">
        <f t="shared" si="74"/>
        <v>0</v>
      </c>
      <c r="R606" s="1952"/>
      <c r="S606" s="1678"/>
      <c r="T606" s="1872">
        <v>0</v>
      </c>
      <c r="U606" s="1952"/>
      <c r="V606" s="1678"/>
      <c r="W606" s="1983">
        <f t="shared" si="75"/>
        <v>0</v>
      </c>
      <c r="X606" s="1952"/>
      <c r="Y606" s="1678"/>
      <c r="Z606" s="1651">
        <f t="shared" si="76"/>
        <v>0</v>
      </c>
      <c r="AA606" s="1652"/>
      <c r="AB606" s="215"/>
      <c r="AC606" s="215"/>
    </row>
    <row r="607" spans="1:29" ht="15.5" x14ac:dyDescent="0.35">
      <c r="A607" s="66"/>
      <c r="B607" s="126"/>
      <c r="C607" s="125">
        <v>7</v>
      </c>
      <c r="D607" s="108" t="s">
        <v>1671</v>
      </c>
      <c r="E607" s="108"/>
      <c r="F607" s="108"/>
      <c r="G607" s="108"/>
      <c r="H607" s="108"/>
      <c r="I607" s="1970">
        <f>I560</f>
        <v>0</v>
      </c>
      <c r="J607" s="1678"/>
      <c r="K607" s="1970">
        <f>D538</f>
        <v>0</v>
      </c>
      <c r="L607" s="1678"/>
      <c r="M607" s="1686">
        <f t="shared" si="72"/>
        <v>0</v>
      </c>
      <c r="N607" s="1969"/>
      <c r="O607" s="1651">
        <f t="shared" si="73"/>
        <v>0</v>
      </c>
      <c r="P607" s="1652"/>
      <c r="Q607" s="1984">
        <f t="shared" si="74"/>
        <v>0</v>
      </c>
      <c r="R607" s="1952"/>
      <c r="S607" s="1678"/>
      <c r="T607" s="1872">
        <f>J538</f>
        <v>0</v>
      </c>
      <c r="U607" s="1952"/>
      <c r="V607" s="1678"/>
      <c r="W607" s="1983">
        <f t="shared" si="75"/>
        <v>0</v>
      </c>
      <c r="X607" s="1952"/>
      <c r="Y607" s="1678"/>
      <c r="Z607" s="1651">
        <f t="shared" si="76"/>
        <v>0</v>
      </c>
      <c r="AA607" s="1652"/>
      <c r="AB607" s="215"/>
      <c r="AC607" s="215"/>
    </row>
    <row r="608" spans="1:29" ht="16" thickBot="1" x14ac:dyDescent="0.4">
      <c r="A608" s="66"/>
      <c r="B608" s="127"/>
      <c r="C608" s="128" t="s">
        <v>285</v>
      </c>
      <c r="D608" s="129"/>
      <c r="E608" s="129"/>
      <c r="F608" s="129"/>
      <c r="G608" s="129"/>
      <c r="H608" s="129"/>
      <c r="I608" s="1978">
        <f>SUM(I601:I607)</f>
        <v>11971966000</v>
      </c>
      <c r="J608" s="1676"/>
      <c r="K608" s="1979">
        <f>SUM(K601:L607)</f>
        <v>11431644723</v>
      </c>
      <c r="L608" s="1676"/>
      <c r="M608" s="1980">
        <f t="shared" si="72"/>
        <v>-540321277</v>
      </c>
      <c r="N608" s="1981"/>
      <c r="O608" s="1976">
        <f>(K608/I608)*100</f>
        <v>95.486779055336442</v>
      </c>
      <c r="P608" s="1870"/>
      <c r="Q608" s="1982">
        <f>SUM(Q601:Q607)</f>
        <v>11899336000</v>
      </c>
      <c r="R608" s="1938"/>
      <c r="S608" s="1676"/>
      <c r="T608" s="1979">
        <f>SUM(T601:T607)</f>
        <v>11492336050</v>
      </c>
      <c r="U608" s="1938"/>
      <c r="V608" s="1676"/>
      <c r="W608" s="1975">
        <f t="shared" si="75"/>
        <v>-406999950</v>
      </c>
      <c r="X608" s="1938"/>
      <c r="Y608" s="1676"/>
      <c r="Z608" s="1976">
        <f t="shared" si="76"/>
        <v>96.579641502685533</v>
      </c>
      <c r="AA608" s="1870"/>
      <c r="AB608" s="215"/>
      <c r="AC608" s="215"/>
    </row>
    <row r="609" spans="1:35" ht="14.5" thickTop="1" x14ac:dyDescent="0.3">
      <c r="A609" s="66"/>
      <c r="B609" s="130"/>
      <c r="C609" s="131"/>
      <c r="D609" s="131"/>
      <c r="E609" s="131"/>
      <c r="F609" s="131"/>
      <c r="G609" s="131"/>
      <c r="H609" s="131"/>
      <c r="I609" s="132"/>
      <c r="J609" s="133"/>
      <c r="K609" s="133"/>
      <c r="L609" s="133"/>
      <c r="M609" s="134"/>
      <c r="N609" s="135"/>
      <c r="O609" s="136"/>
      <c r="P609" s="136"/>
      <c r="Q609" s="132"/>
      <c r="R609" s="133"/>
      <c r="S609" s="137"/>
      <c r="T609" s="133"/>
      <c r="U609" s="133"/>
      <c r="V609" s="133"/>
      <c r="W609" s="134"/>
      <c r="X609" s="138"/>
      <c r="Y609" s="135"/>
      <c r="Z609" s="136"/>
      <c r="AA609" s="139"/>
      <c r="AB609" s="215"/>
      <c r="AC609" s="215"/>
    </row>
    <row r="610" spans="1:35" ht="15.5" x14ac:dyDescent="0.35">
      <c r="A610" s="66"/>
      <c r="B610" s="140" t="s">
        <v>286</v>
      </c>
      <c r="C610" s="112" t="s">
        <v>293</v>
      </c>
      <c r="D610" s="112"/>
      <c r="E610" s="112"/>
      <c r="F610" s="112"/>
      <c r="G610" s="112"/>
      <c r="H610" s="112"/>
      <c r="I610" s="1970"/>
      <c r="J610" s="1678"/>
      <c r="K610" s="141"/>
      <c r="L610" s="141"/>
      <c r="M610" s="1977"/>
      <c r="N610" s="1678"/>
      <c r="O610" s="142"/>
      <c r="P610" s="142"/>
      <c r="Q610" s="143"/>
      <c r="R610" s="141"/>
      <c r="S610" s="144"/>
      <c r="T610" s="141"/>
      <c r="U610" s="141"/>
      <c r="V610" s="141"/>
      <c r="W610" s="145"/>
      <c r="X610" s="146"/>
      <c r="Y610" s="147"/>
      <c r="Z610" s="142"/>
      <c r="AA610" s="148"/>
      <c r="AB610" s="215"/>
      <c r="AC610" s="215"/>
    </row>
    <row r="611" spans="1:35" ht="15.5" x14ac:dyDescent="0.35">
      <c r="A611" s="66"/>
      <c r="B611" s="149"/>
      <c r="C611" s="150">
        <v>1</v>
      </c>
      <c r="D611" s="150" t="s">
        <v>288</v>
      </c>
      <c r="E611" s="150"/>
      <c r="F611" s="112"/>
      <c r="G611" s="112"/>
      <c r="H611" s="112"/>
      <c r="I611" s="1970">
        <f>I574</f>
        <v>11971966000</v>
      </c>
      <c r="J611" s="1678"/>
      <c r="K611" s="1634">
        <f>K608</f>
        <v>11431644723</v>
      </c>
      <c r="L611" s="1626"/>
      <c r="M611" s="1686">
        <f t="shared" ref="M611:M616" si="77">K611-I611</f>
        <v>-540321277</v>
      </c>
      <c r="N611" s="1969"/>
      <c r="O611" s="1651">
        <f t="shared" ref="O611:O617" si="78">IF(I611=0,0,(K611/I611)*100)</f>
        <v>95.486779055336442</v>
      </c>
      <c r="P611" s="1678"/>
      <c r="Q611" s="1872">
        <f>Q608</f>
        <v>11899336000</v>
      </c>
      <c r="R611" s="1952"/>
      <c r="S611" s="1678"/>
      <c r="T611" s="1634">
        <f>T608</f>
        <v>11492336050</v>
      </c>
      <c r="U611" s="1973"/>
      <c r="V611" s="1974"/>
      <c r="W611" s="1907">
        <f>T611-Q611</f>
        <v>-406999950</v>
      </c>
      <c r="X611" s="1952"/>
      <c r="Y611" s="1678"/>
      <c r="Z611" s="1651">
        <f>IF(Q611=0,0,(T611/Q611)*100)</f>
        <v>96.579641502685533</v>
      </c>
      <c r="AA611" s="1652"/>
      <c r="AB611" s="215"/>
      <c r="AC611" s="215"/>
    </row>
    <row r="612" spans="1:35" ht="15.5" x14ac:dyDescent="0.35">
      <c r="A612" s="66"/>
      <c r="B612" s="149"/>
      <c r="C612" s="150">
        <v>2</v>
      </c>
      <c r="D612" s="150" t="s">
        <v>289</v>
      </c>
      <c r="E612" s="150"/>
      <c r="F612" s="112"/>
      <c r="G612" s="112"/>
      <c r="H612" s="112"/>
      <c r="I612" s="1970">
        <f>I575</f>
        <v>0</v>
      </c>
      <c r="J612" s="1678"/>
      <c r="K612" s="1634">
        <v>0</v>
      </c>
      <c r="L612" s="1626"/>
      <c r="M612" s="1686">
        <f t="shared" si="77"/>
        <v>0</v>
      </c>
      <c r="N612" s="1969"/>
      <c r="O612" s="1651">
        <f t="shared" si="78"/>
        <v>0</v>
      </c>
      <c r="P612" s="1678"/>
      <c r="Q612" s="1872">
        <f>Q575</f>
        <v>0</v>
      </c>
      <c r="R612" s="1952"/>
      <c r="S612" s="1678"/>
      <c r="T612" s="1634">
        <v>0</v>
      </c>
      <c r="U612" s="1973"/>
      <c r="V612" s="1974"/>
      <c r="W612" s="1907">
        <f>T612-Q612</f>
        <v>0</v>
      </c>
      <c r="X612" s="1952"/>
      <c r="Y612" s="1678"/>
      <c r="Z612" s="1651">
        <f>IF(Q612=0,0,(T612/Q612)*100)</f>
        <v>0</v>
      </c>
      <c r="AA612" s="1652"/>
      <c r="AB612" s="215"/>
      <c r="AC612" s="215"/>
    </row>
    <row r="613" spans="1:35" ht="15.5" x14ac:dyDescent="0.35">
      <c r="A613" s="66"/>
      <c r="B613" s="149"/>
      <c r="C613" s="150">
        <v>3</v>
      </c>
      <c r="D613" s="150" t="s">
        <v>284</v>
      </c>
      <c r="E613" s="150"/>
      <c r="F613" s="112"/>
      <c r="G613" s="112"/>
      <c r="H613" s="112"/>
      <c r="I613" s="1970">
        <f>I576</f>
        <v>0</v>
      </c>
      <c r="J613" s="1678"/>
      <c r="K613" s="1634">
        <v>0</v>
      </c>
      <c r="L613" s="1626"/>
      <c r="M613" s="1686">
        <f t="shared" si="77"/>
        <v>0</v>
      </c>
      <c r="N613" s="1969"/>
      <c r="O613" s="1651">
        <f t="shared" si="78"/>
        <v>0</v>
      </c>
      <c r="P613" s="1678"/>
      <c r="Q613" s="1872">
        <f>Q576</f>
        <v>0</v>
      </c>
      <c r="R613" s="1952"/>
      <c r="S613" s="1678"/>
      <c r="T613" s="1634">
        <v>0</v>
      </c>
      <c r="U613" s="1973"/>
      <c r="V613" s="1974"/>
      <c r="W613" s="151"/>
      <c r="X613" s="152"/>
      <c r="Y613" s="153"/>
      <c r="Z613" s="154"/>
      <c r="AA613" s="155"/>
      <c r="AB613" s="215"/>
      <c r="AC613" s="215"/>
    </row>
    <row r="614" spans="1:35" ht="15.5" x14ac:dyDescent="0.35">
      <c r="A614" s="66"/>
      <c r="B614" s="149"/>
      <c r="C614" s="150">
        <v>4</v>
      </c>
      <c r="D614" s="150" t="s">
        <v>290</v>
      </c>
      <c r="E614" s="150"/>
      <c r="F614" s="112"/>
      <c r="G614" s="112"/>
      <c r="H614" s="112"/>
      <c r="I614" s="1970">
        <f>Input!I460</f>
        <v>0</v>
      </c>
      <c r="J614" s="1678"/>
      <c r="K614" s="1634">
        <v>0</v>
      </c>
      <c r="L614" s="1626"/>
      <c r="M614" s="1686">
        <f t="shared" si="77"/>
        <v>0</v>
      </c>
      <c r="N614" s="1969"/>
      <c r="O614" s="1651">
        <f t="shared" si="78"/>
        <v>0</v>
      </c>
      <c r="P614" s="1678"/>
      <c r="Q614" s="1872">
        <f>Q577</f>
        <v>0</v>
      </c>
      <c r="R614" s="1952"/>
      <c r="S614" s="1678"/>
      <c r="T614" s="1634">
        <v>0</v>
      </c>
      <c r="U614" s="1973"/>
      <c r="V614" s="1974"/>
      <c r="W614" s="1907">
        <f>T614-Q614</f>
        <v>0</v>
      </c>
      <c r="X614" s="1952"/>
      <c r="Y614" s="1678"/>
      <c r="Z614" s="1651">
        <f>IF(Q614=0,0,(T614/Q614)*100)</f>
        <v>0</v>
      </c>
      <c r="AA614" s="1652"/>
      <c r="AB614" s="215"/>
      <c r="AC614" s="215"/>
    </row>
    <row r="615" spans="1:35" ht="15.5" x14ac:dyDescent="0.35">
      <c r="A615" s="66"/>
      <c r="B615" s="149"/>
      <c r="C615" s="150">
        <v>5</v>
      </c>
      <c r="D615" s="150" t="s">
        <v>291</v>
      </c>
      <c r="E615" s="150"/>
      <c r="F615" s="112"/>
      <c r="G615" s="112"/>
      <c r="H615" s="112"/>
      <c r="I615" s="1970">
        <f>I578</f>
        <v>0</v>
      </c>
      <c r="J615" s="1678"/>
      <c r="K615" s="1634">
        <v>0</v>
      </c>
      <c r="L615" s="1626"/>
      <c r="M615" s="1686">
        <f t="shared" si="77"/>
        <v>0</v>
      </c>
      <c r="N615" s="1969"/>
      <c r="O615" s="1651">
        <f t="shared" si="78"/>
        <v>0</v>
      </c>
      <c r="P615" s="1678"/>
      <c r="Q615" s="1872">
        <f>Q578</f>
        <v>0</v>
      </c>
      <c r="R615" s="1952"/>
      <c r="S615" s="1678"/>
      <c r="T615" s="1634">
        <v>0</v>
      </c>
      <c r="U615" s="1973"/>
      <c r="V615" s="1974"/>
      <c r="W615" s="1907">
        <f>T615-Q615</f>
        <v>0</v>
      </c>
      <c r="X615" s="1952"/>
      <c r="Y615" s="1678"/>
      <c r="Z615" s="1651">
        <f>IF(Q615=0,0,(T615/Q615)*100)</f>
        <v>0</v>
      </c>
      <c r="AA615" s="1652"/>
      <c r="AB615" s="215"/>
      <c r="AC615" s="215"/>
    </row>
    <row r="616" spans="1:35" ht="15.5" x14ac:dyDescent="0.35">
      <c r="A616" s="66"/>
      <c r="B616" s="149"/>
      <c r="C616" s="150">
        <v>6</v>
      </c>
      <c r="D616" s="150" t="s">
        <v>292</v>
      </c>
      <c r="E616" s="150"/>
      <c r="F616" s="112"/>
      <c r="G616" s="112"/>
      <c r="H616" s="112"/>
      <c r="I616" s="1970">
        <f>I579</f>
        <v>0</v>
      </c>
      <c r="J616" s="1678"/>
      <c r="K616" s="1872">
        <f>D366+D492</f>
        <v>0</v>
      </c>
      <c r="L616" s="1678"/>
      <c r="M616" s="1686">
        <f t="shared" si="77"/>
        <v>0</v>
      </c>
      <c r="N616" s="1969"/>
      <c r="O616" s="1651">
        <f t="shared" si="78"/>
        <v>0</v>
      </c>
      <c r="P616" s="1678"/>
      <c r="Q616" s="1872">
        <f>Q579</f>
        <v>0</v>
      </c>
      <c r="R616" s="1952"/>
      <c r="S616" s="1678"/>
      <c r="T616" s="1872">
        <f>J366+J492</f>
        <v>0</v>
      </c>
      <c r="U616" s="1971"/>
      <c r="V616" s="1972"/>
      <c r="W616" s="1907">
        <f>T616-Q616</f>
        <v>0</v>
      </c>
      <c r="X616" s="1952"/>
      <c r="Y616" s="1678"/>
      <c r="Z616" s="1651">
        <f>IF(Q616=0,0,(T616/Q616)*100)</f>
        <v>0</v>
      </c>
      <c r="AA616" s="1652"/>
      <c r="AB616" s="215"/>
      <c r="AC616" s="215"/>
    </row>
    <row r="617" spans="1:35" ht="15.5" x14ac:dyDescent="0.35">
      <c r="A617" s="66"/>
      <c r="B617" s="149"/>
      <c r="C617" s="112"/>
      <c r="D617" s="112"/>
      <c r="E617" s="112"/>
      <c r="F617" s="112"/>
      <c r="G617" s="112"/>
      <c r="H617" s="112"/>
      <c r="I617" s="1872">
        <f>SUM(I611:J616)</f>
        <v>11971966000</v>
      </c>
      <c r="J617" s="1678"/>
      <c r="K617" s="1967">
        <f>SUM(K611:L616)</f>
        <v>11431644723</v>
      </c>
      <c r="L617" s="1968"/>
      <c r="M617" s="1686">
        <f>SUM(M611:N616)</f>
        <v>-540321277</v>
      </c>
      <c r="N617" s="1969"/>
      <c r="O617" s="1651">
        <f t="shared" si="78"/>
        <v>95.486779055336442</v>
      </c>
      <c r="P617" s="1678"/>
      <c r="Q617" s="1872">
        <f>SUM(Q611:S616)</f>
        <v>11899336000</v>
      </c>
      <c r="R617" s="1952"/>
      <c r="S617" s="1678"/>
      <c r="T617" s="1872">
        <f>SUM(T611:V616)</f>
        <v>11492336050</v>
      </c>
      <c r="U617" s="1952"/>
      <c r="V617" s="1678"/>
      <c r="W617" s="1907">
        <f>T617-Q617</f>
        <v>-406999950</v>
      </c>
      <c r="X617" s="1952"/>
      <c r="Y617" s="1678"/>
      <c r="Z617" s="1651">
        <f>IF(Q617=0,0,(T617/Q617)*100)</f>
        <v>96.579641502685533</v>
      </c>
      <c r="AA617" s="1652"/>
      <c r="AB617" s="215"/>
      <c r="AC617" s="215"/>
    </row>
    <row r="618" spans="1:35" ht="16" thickBot="1" x14ac:dyDescent="0.4">
      <c r="A618" s="66"/>
      <c r="B618" s="156"/>
      <c r="C618" s="157"/>
      <c r="D618" s="157"/>
      <c r="E618" s="157"/>
      <c r="F618" s="157"/>
      <c r="G618" s="157"/>
      <c r="H618" s="157"/>
      <c r="I618" s="1675"/>
      <c r="J618" s="1676"/>
      <c r="K618" s="157"/>
      <c r="L618" s="157"/>
      <c r="M618" s="158"/>
      <c r="N618" s="159"/>
      <c r="O618" s="157"/>
      <c r="P618" s="157"/>
      <c r="Q618" s="158"/>
      <c r="R618" s="157"/>
      <c r="S618" s="159"/>
      <c r="T618" s="157"/>
      <c r="U618" s="157"/>
      <c r="V618" s="157"/>
      <c r="W618" s="158"/>
      <c r="X618" s="157"/>
      <c r="Y618" s="159"/>
      <c r="Z618" s="157"/>
      <c r="AA618" s="160"/>
      <c r="AB618" s="215"/>
      <c r="AC618" s="215"/>
    </row>
    <row r="619" spans="1:35" ht="14.5" thickTop="1" x14ac:dyDescent="0.3">
      <c r="A619" s="66"/>
      <c r="B619" s="242"/>
      <c r="C619" s="242"/>
      <c r="D619" s="242"/>
      <c r="E619" s="242"/>
      <c r="F619" s="242"/>
      <c r="G619" s="242"/>
      <c r="H619" s="242"/>
      <c r="I619" s="243"/>
      <c r="J619" s="243"/>
      <c r="K619" s="242"/>
      <c r="L619" s="242"/>
      <c r="M619" s="242"/>
      <c r="N619" s="242"/>
      <c r="O619" s="242"/>
      <c r="P619" s="242"/>
      <c r="Q619" s="242"/>
      <c r="R619" s="242"/>
      <c r="S619" s="242"/>
      <c r="T619" s="242"/>
      <c r="U619" s="242"/>
      <c r="V619" s="242"/>
      <c r="W619" s="242"/>
      <c r="X619" s="242"/>
      <c r="Y619" s="242"/>
      <c r="Z619" s="242"/>
      <c r="AA619" s="242"/>
      <c r="AB619" s="215"/>
      <c r="AC619" s="215"/>
    </row>
    <row r="620" spans="1:35" x14ac:dyDescent="0.3">
      <c r="A620" s="66"/>
      <c r="B620" s="1650" t="s">
        <v>294</v>
      </c>
      <c r="C620" s="1650"/>
      <c r="D620" s="1650"/>
      <c r="E620" s="1650"/>
      <c r="F620" s="1650"/>
      <c r="G620" s="1650"/>
      <c r="H620" s="1650"/>
      <c r="I620" s="1650"/>
      <c r="J620" s="1650"/>
      <c r="K620" s="1650"/>
      <c r="L620" s="1650"/>
      <c r="M620" s="1650"/>
      <c r="N620" s="1650"/>
      <c r="O620" s="1650"/>
      <c r="P620" s="1650"/>
      <c r="Q620" s="1650"/>
      <c r="R620" s="1650"/>
      <c r="S620" s="1650"/>
      <c r="T620" s="1650"/>
      <c r="U620" s="1650"/>
      <c r="V620" s="1650"/>
      <c r="W620" s="1650"/>
      <c r="X620" s="1650"/>
      <c r="Y620" s="1650"/>
      <c r="Z620" s="1650"/>
      <c r="AA620" s="1650"/>
      <c r="AB620" s="244"/>
      <c r="AC620" s="244"/>
      <c r="AD620" s="161"/>
      <c r="AE620" s="162"/>
      <c r="AF620" s="162"/>
      <c r="AG620" s="162"/>
      <c r="AH620" s="162"/>
      <c r="AI620" s="161"/>
    </row>
    <row r="621" spans="1:35" x14ac:dyDescent="0.3">
      <c r="A621" s="66"/>
      <c r="B621" s="1966" t="str">
        <f>B69</f>
        <v>31 Desember 2019</v>
      </c>
      <c r="C621" s="1966"/>
      <c r="D621" s="1966"/>
      <c r="E621" s="1966"/>
      <c r="F621" s="1966"/>
      <c r="G621" s="1966"/>
      <c r="H621" s="1966"/>
      <c r="I621" s="1966"/>
      <c r="J621" s="1966"/>
      <c r="K621" s="1966"/>
      <c r="L621" s="1966"/>
      <c r="M621" s="1966"/>
      <c r="N621" s="1966"/>
      <c r="O621" s="1966"/>
      <c r="P621" s="1966"/>
      <c r="Q621" s="1966"/>
      <c r="R621" s="1966"/>
      <c r="S621" s="1966"/>
      <c r="T621" s="1966"/>
      <c r="U621" s="1966"/>
      <c r="V621" s="1966"/>
      <c r="W621" s="1966"/>
      <c r="X621" s="1966"/>
      <c r="Y621" s="1966"/>
      <c r="Z621" s="1966"/>
      <c r="AA621" s="1966"/>
      <c r="AB621" s="244"/>
      <c r="AC621" s="244"/>
      <c r="AD621" s="161"/>
      <c r="AE621" s="162"/>
      <c r="AF621" s="162"/>
      <c r="AG621" s="162"/>
      <c r="AH621" s="162"/>
      <c r="AI621" s="161"/>
    </row>
    <row r="622" spans="1:35" ht="45.75" customHeight="1" thickBot="1" x14ac:dyDescent="0.35">
      <c r="A622" s="66"/>
      <c r="B622" s="534"/>
      <c r="C622" s="534"/>
      <c r="D622" s="534"/>
      <c r="E622" s="534"/>
      <c r="F622" s="534"/>
      <c r="G622" s="1958" t="s">
        <v>295</v>
      </c>
      <c r="H622" s="1958"/>
      <c r="I622" s="1958" t="s">
        <v>296</v>
      </c>
      <c r="J622" s="1958"/>
      <c r="K622" s="1958" t="s">
        <v>297</v>
      </c>
      <c r="L622" s="1958"/>
      <c r="M622" s="1958" t="s">
        <v>298</v>
      </c>
      <c r="N622" s="1958"/>
      <c r="O622" s="1958"/>
      <c r="P622" s="1958" t="s">
        <v>299</v>
      </c>
      <c r="Q622" s="1958"/>
      <c r="R622" s="1958"/>
      <c r="S622" s="1958" t="s">
        <v>300</v>
      </c>
      <c r="T622" s="1958"/>
      <c r="U622" s="1958"/>
      <c r="V622" s="1958" t="s">
        <v>301</v>
      </c>
      <c r="W622" s="1958"/>
      <c r="X622" s="1958"/>
      <c r="Y622" s="1958" t="s">
        <v>302</v>
      </c>
      <c r="Z622" s="1958"/>
      <c r="AA622" s="1958"/>
      <c r="AB622" s="215"/>
      <c r="AC622" s="215"/>
    </row>
    <row r="623" spans="1:35" ht="16" thickTop="1" x14ac:dyDescent="0.35">
      <c r="A623" s="66"/>
      <c r="B623" s="1963" t="str">
        <f>"Saldo per "&amp;$T$25</f>
        <v>Saldo per 31 Desember 2018</v>
      </c>
      <c r="C623" s="1964"/>
      <c r="D623" s="1964"/>
      <c r="E623" s="1964"/>
      <c r="F623" s="1965"/>
      <c r="G623" s="1959">
        <v>15750000000</v>
      </c>
      <c r="H623" s="1960"/>
      <c r="I623" s="1961">
        <v>5055343940</v>
      </c>
      <c r="J623" s="1960"/>
      <c r="K623" s="1961">
        <v>0</v>
      </c>
      <c r="L623" s="1960"/>
      <c r="M623" s="1961">
        <v>5775313149</v>
      </c>
      <c r="N623" s="1962"/>
      <c r="O623" s="1960"/>
      <c r="P623" s="1961">
        <v>335909500</v>
      </c>
      <c r="Q623" s="1962"/>
      <c r="R623" s="1960"/>
      <c r="S623" s="1961">
        <v>0</v>
      </c>
      <c r="T623" s="1962"/>
      <c r="U623" s="1960"/>
      <c r="V623" s="1961">
        <v>29536650</v>
      </c>
      <c r="W623" s="1962"/>
      <c r="X623" s="1960"/>
      <c r="Y623" s="1961">
        <v>0</v>
      </c>
      <c r="Z623" s="1962"/>
      <c r="AA623" s="1960"/>
      <c r="AB623" s="215"/>
      <c r="AC623" s="215"/>
    </row>
    <row r="624" spans="1:35" ht="15.5" x14ac:dyDescent="0.35">
      <c r="A624" s="66"/>
      <c r="B624" s="163" t="s">
        <v>303</v>
      </c>
      <c r="C624" s="164"/>
      <c r="D624" s="164"/>
      <c r="E624" s="164"/>
      <c r="F624" s="164"/>
      <c r="G624" s="165"/>
      <c r="H624" s="166"/>
      <c r="I624" s="165"/>
      <c r="J624" s="166"/>
      <c r="K624" s="165"/>
      <c r="L624" s="166"/>
      <c r="M624" s="165"/>
      <c r="N624" s="167"/>
      <c r="O624" s="166"/>
      <c r="P624" s="165"/>
      <c r="Q624" s="167"/>
      <c r="R624" s="166"/>
      <c r="S624" s="165"/>
      <c r="T624" s="167"/>
      <c r="U624" s="166"/>
      <c r="V624" s="165"/>
      <c r="W624" s="167"/>
      <c r="X624" s="166"/>
      <c r="Y624" s="165"/>
      <c r="Z624" s="167"/>
      <c r="AA624" s="166"/>
      <c r="AB624" s="215"/>
      <c r="AC624" s="215"/>
    </row>
    <row r="625" spans="1:29" ht="15.5" x14ac:dyDescent="0.35">
      <c r="A625" s="66"/>
      <c r="B625" s="1955" t="s">
        <v>304</v>
      </c>
      <c r="C625" s="1956"/>
      <c r="D625" s="1956"/>
      <c r="E625" s="1956"/>
      <c r="F625" s="1957"/>
      <c r="G625" s="1950">
        <v>0</v>
      </c>
      <c r="H625" s="1949"/>
      <c r="I625" s="1947">
        <v>0</v>
      </c>
      <c r="J625" s="1949"/>
      <c r="K625" s="1947">
        <v>0</v>
      </c>
      <c r="L625" s="1949"/>
      <c r="M625" s="1947">
        <v>0</v>
      </c>
      <c r="N625" s="1948"/>
      <c r="O625" s="1949"/>
      <c r="P625" s="1947">
        <v>0</v>
      </c>
      <c r="Q625" s="1948"/>
      <c r="R625" s="1949"/>
      <c r="S625" s="1947">
        <v>0</v>
      </c>
      <c r="T625" s="1948"/>
      <c r="U625" s="1949"/>
      <c r="V625" s="1947">
        <v>0</v>
      </c>
      <c r="W625" s="1948"/>
      <c r="X625" s="1949"/>
      <c r="Y625" s="1947">
        <v>0</v>
      </c>
      <c r="Z625" s="1948"/>
      <c r="AA625" s="1949"/>
      <c r="AB625" s="215"/>
      <c r="AC625" s="215"/>
    </row>
    <row r="626" spans="1:29" ht="15.5" x14ac:dyDescent="0.35">
      <c r="A626" s="66"/>
      <c r="B626" s="603" t="s">
        <v>305</v>
      </c>
      <c r="C626" s="604"/>
      <c r="D626" s="604"/>
      <c r="E626" s="604"/>
      <c r="F626" s="604"/>
      <c r="G626" s="1950">
        <v>0</v>
      </c>
      <c r="H626" s="1949"/>
      <c r="I626" s="1947">
        <v>950439900</v>
      </c>
      <c r="J626" s="1949"/>
      <c r="K626" s="1947">
        <v>0</v>
      </c>
      <c r="L626" s="1949"/>
      <c r="M626" s="1947">
        <v>0</v>
      </c>
      <c r="N626" s="1948"/>
      <c r="O626" s="1949"/>
      <c r="P626" s="1947">
        <v>3375500</v>
      </c>
      <c r="Q626" s="1948"/>
      <c r="R626" s="1949"/>
      <c r="S626" s="1947">
        <v>0</v>
      </c>
      <c r="T626" s="1948"/>
      <c r="U626" s="1949"/>
      <c r="V626" s="1947">
        <v>0</v>
      </c>
      <c r="W626" s="1948"/>
      <c r="X626" s="1949"/>
      <c r="Y626" s="1947">
        <v>0</v>
      </c>
      <c r="Z626" s="1948"/>
      <c r="AA626" s="1949"/>
      <c r="AB626" s="215"/>
      <c r="AC626" s="215"/>
    </row>
    <row r="627" spans="1:29" ht="15.5" x14ac:dyDescent="0.35">
      <c r="A627" s="66"/>
      <c r="B627" s="603" t="s">
        <v>306</v>
      </c>
      <c r="C627" s="604"/>
      <c r="D627" s="604"/>
      <c r="E627" s="604"/>
      <c r="F627" s="604"/>
      <c r="G627" s="1950">
        <v>0</v>
      </c>
      <c r="H627" s="1949"/>
      <c r="I627" s="1947">
        <v>0</v>
      </c>
      <c r="J627" s="1949"/>
      <c r="K627" s="1947">
        <v>0</v>
      </c>
      <c r="L627" s="1949"/>
      <c r="M627" s="1947">
        <v>0</v>
      </c>
      <c r="N627" s="1948"/>
      <c r="O627" s="1949"/>
      <c r="P627" s="1947">
        <v>0</v>
      </c>
      <c r="Q627" s="1948"/>
      <c r="R627" s="1949"/>
      <c r="S627" s="1947">
        <v>0</v>
      </c>
      <c r="T627" s="1948"/>
      <c r="U627" s="1949"/>
      <c r="V627" s="1947">
        <v>0</v>
      </c>
      <c r="W627" s="1948"/>
      <c r="X627" s="1949"/>
      <c r="Y627" s="1947">
        <v>0</v>
      </c>
      <c r="Z627" s="1948"/>
      <c r="AA627" s="1949"/>
      <c r="AB627" s="215"/>
      <c r="AC627" s="215"/>
    </row>
    <row r="628" spans="1:29" ht="15.5" x14ac:dyDescent="0.35">
      <c r="A628" s="66"/>
      <c r="B628" s="603" t="s">
        <v>307</v>
      </c>
      <c r="C628" s="604"/>
      <c r="D628" s="604"/>
      <c r="E628" s="604"/>
      <c r="F628" s="604"/>
      <c r="G628" s="1950">
        <v>0</v>
      </c>
      <c r="H628" s="1949"/>
      <c r="I628" s="1947">
        <v>0</v>
      </c>
      <c r="J628" s="1949"/>
      <c r="K628" s="1947">
        <v>0</v>
      </c>
      <c r="L628" s="1949"/>
      <c r="M628" s="1947">
        <v>536663050</v>
      </c>
      <c r="N628" s="1948"/>
      <c r="O628" s="1949"/>
      <c r="P628" s="1947">
        <v>0</v>
      </c>
      <c r="Q628" s="1948"/>
      <c r="R628" s="1949"/>
      <c r="S628" s="1947">
        <v>0</v>
      </c>
      <c r="T628" s="1948"/>
      <c r="U628" s="1949"/>
      <c r="V628" s="1947">
        <v>0</v>
      </c>
      <c r="W628" s="1948"/>
      <c r="X628" s="1949"/>
      <c r="Y628" s="1947"/>
      <c r="Z628" s="1948"/>
      <c r="AA628" s="1949"/>
      <c r="AB628" s="215"/>
      <c r="AC628" s="215"/>
    </row>
    <row r="629" spans="1:29" ht="15.5" x14ac:dyDescent="0.35">
      <c r="A629" s="66"/>
      <c r="B629" s="605" t="s">
        <v>308</v>
      </c>
      <c r="C629" s="604"/>
      <c r="D629" s="604"/>
      <c r="E629" s="604"/>
      <c r="F629" s="604"/>
      <c r="G629" s="1950">
        <v>0</v>
      </c>
      <c r="H629" s="1949"/>
      <c r="I629" s="1947">
        <v>0</v>
      </c>
      <c r="J629" s="1949"/>
      <c r="K629" s="1947">
        <v>0</v>
      </c>
      <c r="L629" s="1949"/>
      <c r="M629" s="1947">
        <v>0</v>
      </c>
      <c r="N629" s="1948"/>
      <c r="O629" s="1949"/>
      <c r="P629" s="1947">
        <v>0</v>
      </c>
      <c r="Q629" s="1948"/>
      <c r="R629" s="1949"/>
      <c r="S629" s="1947">
        <v>0</v>
      </c>
      <c r="T629" s="1948"/>
      <c r="U629" s="1949"/>
      <c r="V629" s="1947">
        <v>0</v>
      </c>
      <c r="W629" s="1948"/>
      <c r="X629" s="1949"/>
      <c r="Y629" s="1947">
        <v>0</v>
      </c>
      <c r="Z629" s="1948"/>
      <c r="AA629" s="1949"/>
      <c r="AB629" s="215"/>
      <c r="AC629" s="215"/>
    </row>
    <row r="630" spans="1:29" ht="15.5" x14ac:dyDescent="0.35">
      <c r="A630" s="66"/>
      <c r="B630" s="603" t="s">
        <v>2348</v>
      </c>
      <c r="C630" s="604"/>
      <c r="D630" s="604"/>
      <c r="E630" s="604"/>
      <c r="F630" s="604"/>
      <c r="G630" s="1950">
        <v>0</v>
      </c>
      <c r="H630" s="1949"/>
      <c r="I630" s="1947">
        <v>0</v>
      </c>
      <c r="J630" s="1949"/>
      <c r="K630" s="1947">
        <v>0</v>
      </c>
      <c r="L630" s="1949"/>
      <c r="M630" s="1947">
        <v>0</v>
      </c>
      <c r="N630" s="1948"/>
      <c r="O630" s="1949"/>
      <c r="P630" s="1947">
        <v>0</v>
      </c>
      <c r="Q630" s="1948"/>
      <c r="R630" s="1949"/>
      <c r="S630" s="1947">
        <v>0</v>
      </c>
      <c r="T630" s="1948"/>
      <c r="U630" s="1949"/>
      <c r="V630" s="1947">
        <v>0</v>
      </c>
      <c r="W630" s="1948"/>
      <c r="X630" s="1949"/>
      <c r="Y630" s="1947">
        <v>0</v>
      </c>
      <c r="Z630" s="1948"/>
      <c r="AA630" s="1949"/>
      <c r="AB630" s="215"/>
      <c r="AC630" s="215"/>
    </row>
    <row r="631" spans="1:29" ht="15.5" x14ac:dyDescent="0.35">
      <c r="A631" s="66"/>
      <c r="B631" s="603" t="s">
        <v>310</v>
      </c>
      <c r="C631" s="604"/>
      <c r="D631" s="604"/>
      <c r="E631" s="604"/>
      <c r="F631" s="604"/>
      <c r="G631" s="1950">
        <v>0</v>
      </c>
      <c r="H631" s="1949"/>
      <c r="I631" s="1947">
        <v>0</v>
      </c>
      <c r="J631" s="1949"/>
      <c r="K631" s="1947">
        <v>0</v>
      </c>
      <c r="L631" s="1949"/>
      <c r="M631" s="1947">
        <v>0</v>
      </c>
      <c r="N631" s="1948"/>
      <c r="O631" s="1949"/>
      <c r="P631" s="1947">
        <v>0</v>
      </c>
      <c r="Q631" s="1948"/>
      <c r="R631" s="1949"/>
      <c r="S631" s="1947">
        <v>0</v>
      </c>
      <c r="T631" s="1948"/>
      <c r="U631" s="1949"/>
      <c r="V631" s="1947">
        <v>0</v>
      </c>
      <c r="W631" s="1948"/>
      <c r="X631" s="1949"/>
      <c r="Y631" s="1947">
        <v>0</v>
      </c>
      <c r="Z631" s="1948"/>
      <c r="AA631" s="1949"/>
      <c r="AB631" s="215"/>
      <c r="AC631" s="215"/>
    </row>
    <row r="632" spans="1:29" ht="15.5" x14ac:dyDescent="0.35">
      <c r="A632" s="66"/>
      <c r="B632" s="52"/>
      <c r="C632" s="53"/>
      <c r="D632" s="53"/>
      <c r="E632" s="53"/>
      <c r="F632" s="53"/>
      <c r="G632" s="1954">
        <f>SUM(G625:G631)</f>
        <v>0</v>
      </c>
      <c r="H632" s="1652"/>
      <c r="I632" s="1951">
        <f>SUM(I625:J631)</f>
        <v>950439900</v>
      </c>
      <c r="J632" s="1652"/>
      <c r="K632" s="1951">
        <f>SUM(K625:K631)</f>
        <v>0</v>
      </c>
      <c r="L632" s="1652"/>
      <c r="M632" s="1951">
        <f>SUM(M625:M631)</f>
        <v>536663050</v>
      </c>
      <c r="N632" s="1952"/>
      <c r="O632" s="1652"/>
      <c r="P632" s="1953">
        <f>SUM(P625:P631)</f>
        <v>3375500</v>
      </c>
      <c r="Q632" s="1952"/>
      <c r="R632" s="1652"/>
      <c r="S632" s="1951">
        <f>SUM(S625:S631)</f>
        <v>0</v>
      </c>
      <c r="T632" s="1952"/>
      <c r="U632" s="1652"/>
      <c r="V632" s="1951">
        <f>SUM(V625:V631)</f>
        <v>0</v>
      </c>
      <c r="W632" s="1952"/>
      <c r="X632" s="1652"/>
      <c r="Y632" s="1953">
        <f>SUM(Y625:Y631)</f>
        <v>0</v>
      </c>
      <c r="Z632" s="1952"/>
      <c r="AA632" s="1652"/>
      <c r="AB632" s="215"/>
      <c r="AC632" s="215"/>
    </row>
    <row r="633" spans="1:29" ht="15.5" x14ac:dyDescent="0.35">
      <c r="A633" s="66"/>
      <c r="B633" s="54" t="s">
        <v>311</v>
      </c>
      <c r="C633" s="53"/>
      <c r="D633" s="53"/>
      <c r="E633" s="53"/>
      <c r="F633" s="53"/>
      <c r="G633" s="168"/>
      <c r="H633" s="169"/>
      <c r="I633" s="168"/>
      <c r="J633" s="169"/>
      <c r="K633" s="168"/>
      <c r="L633" s="169"/>
      <c r="M633" s="168"/>
      <c r="N633" s="170"/>
      <c r="O633" s="169"/>
      <c r="P633" s="168"/>
      <c r="Q633" s="170"/>
      <c r="R633" s="169"/>
      <c r="S633" s="168"/>
      <c r="T633" s="170"/>
      <c r="U633" s="169"/>
      <c r="V633" s="168"/>
      <c r="W633" s="170"/>
      <c r="X633" s="169"/>
      <c r="Y633" s="168"/>
      <c r="Z633" s="170"/>
      <c r="AA633" s="169"/>
      <c r="AB633" s="215"/>
      <c r="AC633" s="215"/>
    </row>
    <row r="634" spans="1:29" ht="15.5" x14ac:dyDescent="0.35">
      <c r="A634" s="66"/>
      <c r="B634" s="606" t="s">
        <v>312</v>
      </c>
      <c r="C634" s="604"/>
      <c r="D634" s="604"/>
      <c r="E634" s="604"/>
      <c r="F634" s="604"/>
      <c r="G634" s="1950">
        <v>0</v>
      </c>
      <c r="H634" s="1949"/>
      <c r="I634" s="1947">
        <v>0</v>
      </c>
      <c r="J634" s="1949"/>
      <c r="K634" s="1947">
        <v>0</v>
      </c>
      <c r="L634" s="1949"/>
      <c r="M634" s="1947">
        <v>0</v>
      </c>
      <c r="N634" s="1948"/>
      <c r="O634" s="1949"/>
      <c r="P634" s="1947">
        <v>0</v>
      </c>
      <c r="Q634" s="1948"/>
      <c r="R634" s="1949"/>
      <c r="S634" s="1947">
        <v>0</v>
      </c>
      <c r="T634" s="1948"/>
      <c r="U634" s="1949"/>
      <c r="V634" s="1947">
        <v>0</v>
      </c>
      <c r="W634" s="1948"/>
      <c r="X634" s="1949"/>
      <c r="Y634" s="1947">
        <v>0</v>
      </c>
      <c r="Z634" s="1948"/>
      <c r="AA634" s="1949"/>
      <c r="AB634" s="215"/>
      <c r="AC634" s="215"/>
    </row>
    <row r="635" spans="1:29" ht="15.5" x14ac:dyDescent="0.35">
      <c r="A635" s="66"/>
      <c r="B635" s="607" t="s">
        <v>313</v>
      </c>
      <c r="C635" s="604"/>
      <c r="D635" s="604"/>
      <c r="E635" s="604"/>
      <c r="F635" s="604"/>
      <c r="G635" s="1950">
        <v>0</v>
      </c>
      <c r="H635" s="1949"/>
      <c r="I635" s="1947">
        <v>0</v>
      </c>
      <c r="J635" s="1949"/>
      <c r="K635" s="1947">
        <v>0</v>
      </c>
      <c r="L635" s="1949"/>
      <c r="M635" s="1947">
        <v>0</v>
      </c>
      <c r="N635" s="1948"/>
      <c r="O635" s="1949"/>
      <c r="P635" s="1947">
        <v>0</v>
      </c>
      <c r="Q635" s="1948"/>
      <c r="R635" s="1949"/>
      <c r="S635" s="1947">
        <v>0</v>
      </c>
      <c r="T635" s="1948"/>
      <c r="U635" s="1949"/>
      <c r="V635" s="1947">
        <v>0</v>
      </c>
      <c r="W635" s="1948"/>
      <c r="X635" s="1949"/>
      <c r="Y635" s="1947">
        <v>0</v>
      </c>
      <c r="Z635" s="1948"/>
      <c r="AA635" s="1949"/>
      <c r="AB635" s="215"/>
      <c r="AC635" s="215"/>
    </row>
    <row r="636" spans="1:29" ht="15.5" x14ac:dyDescent="0.35">
      <c r="A636" s="66"/>
      <c r="B636" s="606" t="s">
        <v>314</v>
      </c>
      <c r="C636" s="604"/>
      <c r="D636" s="604"/>
      <c r="E636" s="604"/>
      <c r="F636" s="604"/>
      <c r="G636" s="1950">
        <v>0</v>
      </c>
      <c r="H636" s="1949"/>
      <c r="I636" s="1947">
        <v>20348900</v>
      </c>
      <c r="J636" s="1949"/>
      <c r="K636" s="1947">
        <v>0</v>
      </c>
      <c r="L636" s="1949"/>
      <c r="M636" s="1947">
        <v>0</v>
      </c>
      <c r="N636" s="1948"/>
      <c r="O636" s="1949"/>
      <c r="P636" s="1947">
        <v>0</v>
      </c>
      <c r="Q636" s="1948"/>
      <c r="R636" s="1949"/>
      <c r="S636" s="1947">
        <v>0</v>
      </c>
      <c r="T636" s="1948"/>
      <c r="U636" s="1949"/>
      <c r="V636" s="1947">
        <v>0</v>
      </c>
      <c r="W636" s="1948"/>
      <c r="X636" s="1949"/>
      <c r="Y636" s="1947">
        <v>0</v>
      </c>
      <c r="Z636" s="1948"/>
      <c r="AA636" s="1949"/>
      <c r="AB636" s="215"/>
      <c r="AC636" s="215"/>
    </row>
    <row r="637" spans="1:29" ht="15.5" x14ac:dyDescent="0.35">
      <c r="A637" s="66"/>
      <c r="B637" s="606" t="s">
        <v>309</v>
      </c>
      <c r="C637" s="604"/>
      <c r="D637" s="604"/>
      <c r="E637" s="604"/>
      <c r="F637" s="604"/>
      <c r="G637" s="1950"/>
      <c r="H637" s="1949"/>
      <c r="I637" s="1947">
        <v>0</v>
      </c>
      <c r="J637" s="1949"/>
      <c r="K637" s="1947">
        <v>0</v>
      </c>
      <c r="L637" s="1949"/>
      <c r="M637" s="1947">
        <v>0</v>
      </c>
      <c r="N637" s="1948"/>
      <c r="O637" s="1949"/>
      <c r="P637" s="1947">
        <v>0</v>
      </c>
      <c r="Q637" s="1948"/>
      <c r="R637" s="1949"/>
      <c r="S637" s="1947">
        <v>0</v>
      </c>
      <c r="T637" s="1948"/>
      <c r="U637" s="1949"/>
      <c r="V637" s="1947">
        <v>0</v>
      </c>
      <c r="W637" s="1948"/>
      <c r="X637" s="1949"/>
      <c r="Y637" s="1947">
        <v>0</v>
      </c>
      <c r="Z637" s="1948"/>
      <c r="AA637" s="1949"/>
      <c r="AB637" s="215"/>
      <c r="AC637" s="215"/>
    </row>
    <row r="638" spans="1:29" ht="15.5" x14ac:dyDescent="0.35">
      <c r="A638" s="66"/>
      <c r="B638" s="606" t="s">
        <v>315</v>
      </c>
      <c r="C638" s="608"/>
      <c r="D638" s="608"/>
      <c r="E638" s="608"/>
      <c r="F638" s="608"/>
      <c r="G638" s="1950">
        <v>0</v>
      </c>
      <c r="H638" s="1949"/>
      <c r="I638" s="1947">
        <v>0</v>
      </c>
      <c r="J638" s="1949"/>
      <c r="K638" s="1947">
        <v>0</v>
      </c>
      <c r="L638" s="1949"/>
      <c r="M638" s="1947">
        <v>0</v>
      </c>
      <c r="N638" s="1948"/>
      <c r="O638" s="1949"/>
      <c r="P638" s="1947">
        <v>0</v>
      </c>
      <c r="Q638" s="1948"/>
      <c r="R638" s="1949"/>
      <c r="S638" s="1947">
        <v>0</v>
      </c>
      <c r="T638" s="1948"/>
      <c r="U638" s="1949"/>
      <c r="V638" s="1947">
        <v>0</v>
      </c>
      <c r="W638" s="1948"/>
      <c r="X638" s="1949"/>
      <c r="Y638" s="1947">
        <v>0</v>
      </c>
      <c r="Z638" s="1948"/>
      <c r="AA638" s="1949"/>
      <c r="AB638" s="215"/>
      <c r="AC638" s="215"/>
    </row>
    <row r="639" spans="1:29" ht="16" thickBot="1" x14ac:dyDescent="0.4">
      <c r="A639" s="66"/>
      <c r="B639" s="88"/>
      <c r="C639" s="89"/>
      <c r="D639" s="89"/>
      <c r="E639" s="89"/>
      <c r="F639" s="89"/>
      <c r="G639" s="1946">
        <f>SUM(G634:H638)</f>
        <v>0</v>
      </c>
      <c r="H639" s="1870"/>
      <c r="I639" s="1937">
        <f>SUM(I634:J638)</f>
        <v>20348900</v>
      </c>
      <c r="J639" s="1870"/>
      <c r="K639" s="1937">
        <f>SUM(K634:L638)</f>
        <v>0</v>
      </c>
      <c r="L639" s="1870"/>
      <c r="M639" s="1937">
        <f>SUM(M634:O638)</f>
        <v>0</v>
      </c>
      <c r="N639" s="1938"/>
      <c r="O639" s="1870"/>
      <c r="P639" s="1937">
        <f>SUM(P634:R638)</f>
        <v>0</v>
      </c>
      <c r="Q639" s="1938"/>
      <c r="R639" s="1870"/>
      <c r="S639" s="1937">
        <f>SUM(S634:U638)</f>
        <v>0</v>
      </c>
      <c r="T639" s="1938"/>
      <c r="U639" s="1870"/>
      <c r="V639" s="1937">
        <f>SUM(V634:X638)</f>
        <v>0</v>
      </c>
      <c r="W639" s="1938"/>
      <c r="X639" s="1870"/>
      <c r="Y639" s="1937">
        <f>SUM(Y634:AA638)</f>
        <v>0</v>
      </c>
      <c r="Z639" s="1938"/>
      <c r="AA639" s="1870"/>
      <c r="AB639" s="215"/>
      <c r="AC639" s="215"/>
    </row>
    <row r="640" spans="1:29" ht="16" thickTop="1" x14ac:dyDescent="0.35">
      <c r="A640" s="66"/>
      <c r="B640" s="279" t="s">
        <v>316</v>
      </c>
      <c r="C640" s="272"/>
      <c r="D640" s="272"/>
      <c r="E640" s="272"/>
      <c r="F640" s="272"/>
      <c r="G640" s="1939">
        <f>G632-G639</f>
        <v>0</v>
      </c>
      <c r="H640" s="1940"/>
      <c r="I640" s="1941">
        <f>I632-I639</f>
        <v>930091000</v>
      </c>
      <c r="J640" s="1940"/>
      <c r="K640" s="1942">
        <f>K632-K639</f>
        <v>0</v>
      </c>
      <c r="L640" s="1943"/>
      <c r="M640" s="1942">
        <f>M632-M639</f>
        <v>536663050</v>
      </c>
      <c r="N640" s="1944"/>
      <c r="O640" s="1943"/>
      <c r="P640" s="1942">
        <f>P632-P639</f>
        <v>3375500</v>
      </c>
      <c r="Q640" s="1944"/>
      <c r="R640" s="1943"/>
      <c r="S640" s="1942">
        <f>S632-S639</f>
        <v>0</v>
      </c>
      <c r="T640" s="1944"/>
      <c r="U640" s="1943"/>
      <c r="V640" s="1942">
        <f>V632-V639</f>
        <v>0</v>
      </c>
      <c r="W640" s="1944"/>
      <c r="X640" s="1943"/>
      <c r="Y640" s="1941">
        <f>Y632-Y639</f>
        <v>0</v>
      </c>
      <c r="Z640" s="1945"/>
      <c r="AA640" s="1940"/>
      <c r="AB640" s="215"/>
      <c r="AC640" s="215"/>
    </row>
    <row r="641" spans="1:34" ht="16" thickBot="1" x14ac:dyDescent="0.4">
      <c r="A641" s="275"/>
      <c r="B641" s="276" t="s">
        <v>317</v>
      </c>
      <c r="C641" s="277"/>
      <c r="D641" s="278" t="str">
        <f>B621</f>
        <v>31 Desember 2019</v>
      </c>
      <c r="E641" s="277"/>
      <c r="F641" s="277"/>
      <c r="G641" s="1930">
        <f>G623+G640</f>
        <v>15750000000</v>
      </c>
      <c r="H641" s="1925"/>
      <c r="I641" s="1923">
        <f>I623+I640</f>
        <v>5985434940</v>
      </c>
      <c r="J641" s="1925"/>
      <c r="K641" s="1920">
        <f>K623+K640</f>
        <v>0</v>
      </c>
      <c r="L641" s="1922"/>
      <c r="M641" s="1920">
        <f>M623+M640</f>
        <v>6311976199</v>
      </c>
      <c r="N641" s="1921"/>
      <c r="O641" s="1922" t="e">
        <f>O623+O640-#REF!-#REF!</f>
        <v>#REF!</v>
      </c>
      <c r="P641" s="1920">
        <f>P623+P640</f>
        <v>339285000</v>
      </c>
      <c r="Q641" s="1921" t="e">
        <f>Q623+Q640-#REF!-#REF!</f>
        <v>#REF!</v>
      </c>
      <c r="R641" s="1922"/>
      <c r="S641" s="1920">
        <f>S623+S640</f>
        <v>0</v>
      </c>
      <c r="T641" s="1921"/>
      <c r="U641" s="1922" t="e">
        <f>U623+U640-#REF!-#REF!</f>
        <v>#REF!</v>
      </c>
      <c r="V641" s="1920">
        <f>V623+V640</f>
        <v>29536650</v>
      </c>
      <c r="W641" s="1921" t="e">
        <f>W623+W640-#REF!-#REF!</f>
        <v>#REF!</v>
      </c>
      <c r="X641" s="1922"/>
      <c r="Y641" s="1923">
        <f>Y623+Y640</f>
        <v>0</v>
      </c>
      <c r="Z641" s="1924"/>
      <c r="AA641" s="1925"/>
      <c r="AB641" s="215"/>
      <c r="AC641" s="215"/>
    </row>
    <row r="642" spans="1:34" ht="16" thickTop="1" x14ac:dyDescent="0.35">
      <c r="A642" s="66"/>
      <c r="B642" s="245"/>
      <c r="C642" s="216"/>
      <c r="D642" s="216"/>
      <c r="E642" s="216"/>
      <c r="F642" s="216"/>
      <c r="G642" s="236"/>
      <c r="H642" s="236"/>
      <c r="I642" s="236"/>
      <c r="J642" s="236"/>
      <c r="K642" s="236"/>
      <c r="L642" s="236"/>
      <c r="M642" s="236"/>
      <c r="N642" s="236"/>
      <c r="O642" s="236"/>
      <c r="P642" s="236"/>
      <c r="Q642" s="236"/>
      <c r="R642" s="236"/>
      <c r="S642" s="236"/>
      <c r="T642" s="236"/>
      <c r="U642" s="236"/>
      <c r="V642" s="236"/>
      <c r="W642" s="236"/>
      <c r="X642" s="236"/>
      <c r="Y642" s="236"/>
      <c r="Z642" s="236"/>
      <c r="AA642" s="236"/>
      <c r="AB642" s="215"/>
      <c r="AC642" s="215"/>
    </row>
    <row r="643" spans="1:34" ht="18" x14ac:dyDescent="0.4">
      <c r="A643" s="66"/>
      <c r="B643" s="1681" t="s">
        <v>70</v>
      </c>
      <c r="C643" s="1681"/>
      <c r="D643" s="1681"/>
      <c r="E643" s="1681"/>
      <c r="F643" s="1681"/>
      <c r="G643" s="1681"/>
      <c r="H643" s="1681"/>
      <c r="I643" s="1681"/>
      <c r="J643" s="1681"/>
      <c r="K643" s="1681"/>
      <c r="L643" s="1681"/>
      <c r="M643" s="1681"/>
      <c r="N643" s="1681"/>
      <c r="O643" s="1681"/>
      <c r="P643" s="246"/>
      <c r="Q643" s="246"/>
      <c r="R643" s="246"/>
      <c r="S643" s="246"/>
      <c r="T643" s="246"/>
      <c r="U643" s="246"/>
      <c r="V643" s="246"/>
      <c r="W643" s="246"/>
      <c r="X643" s="246"/>
      <c r="Y643" s="246"/>
      <c r="Z643" s="246"/>
      <c r="AA643" s="212"/>
      <c r="AB643" s="215"/>
      <c r="AC643" s="215"/>
    </row>
    <row r="644" spans="1:34" ht="18" x14ac:dyDescent="0.4">
      <c r="A644" s="66"/>
      <c r="B644" s="1858" t="str">
        <f>"Per "&amp;B69&amp;" dan "&amp;$T$25</f>
        <v>Per 31 Desember 2019 dan 31 Desember 2018</v>
      </c>
      <c r="C644" s="1858"/>
      <c r="D644" s="1858"/>
      <c r="E644" s="1858"/>
      <c r="F644" s="1858"/>
      <c r="G644" s="1858"/>
      <c r="H644" s="1858"/>
      <c r="I644" s="1858"/>
      <c r="J644" s="1858"/>
      <c r="K644" s="1858"/>
      <c r="L644" s="1858"/>
      <c r="M644" s="1858"/>
      <c r="N644" s="1858"/>
      <c r="O644" s="1858"/>
      <c r="P644" s="247"/>
      <c r="Q644" s="247"/>
      <c r="R644" s="247"/>
      <c r="S644" s="247"/>
      <c r="T644" s="247"/>
      <c r="U644" s="247"/>
      <c r="V644" s="247"/>
      <c r="W644" s="247"/>
      <c r="X644" s="247"/>
      <c r="Y644" s="247"/>
      <c r="Z644" s="247"/>
      <c r="AA644" s="215"/>
      <c r="AB644" s="215"/>
      <c r="AC644" s="215"/>
    </row>
    <row r="645" spans="1:34" ht="14.5" thickBot="1" x14ac:dyDescent="0.35">
      <c r="A645" s="66"/>
      <c r="B645" s="229"/>
      <c r="C645" s="229"/>
      <c r="D645" s="229"/>
      <c r="E645" s="229"/>
      <c r="F645" s="229"/>
      <c r="G645" s="229"/>
      <c r="H645" s="229"/>
      <c r="I645" s="229"/>
      <c r="J645" s="229"/>
      <c r="K645" s="229"/>
      <c r="L645" s="229"/>
      <c r="M645" s="229"/>
      <c r="N645" s="229"/>
      <c r="O645" s="229"/>
      <c r="P645" s="215"/>
      <c r="Q645" s="215"/>
      <c r="R645" s="215"/>
      <c r="S645" s="215"/>
      <c r="T645" s="215"/>
      <c r="U645" s="215"/>
      <c r="V645" s="215"/>
      <c r="W645" s="215"/>
      <c r="X645" s="215"/>
      <c r="Y645" s="215"/>
      <c r="Z645" s="215"/>
      <c r="AA645" s="215"/>
      <c r="AB645" s="215"/>
      <c r="AC645" s="215"/>
    </row>
    <row r="646" spans="1:34" s="171" customFormat="1" ht="16" thickTop="1" x14ac:dyDescent="0.35">
      <c r="A646" s="74"/>
      <c r="B646" s="1931" t="s">
        <v>71</v>
      </c>
      <c r="C646" s="1932"/>
      <c r="D646" s="1932"/>
      <c r="E646" s="1932"/>
      <c r="F646" s="1932"/>
      <c r="G646" s="1932"/>
      <c r="H646" s="1933"/>
      <c r="I646" s="1926" t="s">
        <v>318</v>
      </c>
      <c r="J646" s="1927"/>
      <c r="K646" s="1927"/>
      <c r="L646" s="1928"/>
      <c r="M646" s="1926" t="s">
        <v>319</v>
      </c>
      <c r="N646" s="1927"/>
      <c r="O646" s="1929"/>
      <c r="P646" s="218"/>
      <c r="Q646" s="218"/>
      <c r="R646" s="218"/>
      <c r="S646" s="218"/>
      <c r="T646" s="218"/>
      <c r="U646" s="218"/>
      <c r="V646" s="218"/>
      <c r="W646" s="218"/>
      <c r="X646" s="218"/>
      <c r="Y646" s="218"/>
      <c r="Z646" s="218"/>
      <c r="AA646" s="218"/>
      <c r="AB646" s="218"/>
      <c r="AC646" s="218"/>
      <c r="AE646" s="113"/>
      <c r="AF646" s="113"/>
      <c r="AG646" s="113"/>
      <c r="AH646" s="113"/>
    </row>
    <row r="647" spans="1:34" s="171" customFormat="1" ht="15.5" x14ac:dyDescent="0.35">
      <c r="A647" s="74"/>
      <c r="B647" s="1934"/>
      <c r="C647" s="1935"/>
      <c r="D647" s="1935"/>
      <c r="E647" s="1935"/>
      <c r="F647" s="1935"/>
      <c r="G647" s="1935"/>
      <c r="H647" s="1936"/>
      <c r="I647" s="1699" t="str">
        <f>B69</f>
        <v>31 Desember 2019</v>
      </c>
      <c r="J647" s="1700"/>
      <c r="K647" s="1699" t="str">
        <f>$T$25</f>
        <v>31 Desember 2018</v>
      </c>
      <c r="L647" s="1700"/>
      <c r="M647" s="535" t="s">
        <v>318</v>
      </c>
      <c r="N647" s="1916" t="s">
        <v>47</v>
      </c>
      <c r="O647" s="1917"/>
      <c r="P647" s="218"/>
      <c r="Q647" s="218"/>
      <c r="R647" s="218"/>
      <c r="S647" s="218"/>
      <c r="T647" s="218"/>
      <c r="U647" s="218"/>
      <c r="V647" s="218"/>
      <c r="W647" s="218"/>
      <c r="X647" s="218"/>
      <c r="Y647" s="218"/>
      <c r="Z647" s="218"/>
      <c r="AA647" s="218"/>
      <c r="AB647" s="218"/>
      <c r="AC647" s="218"/>
      <c r="AE647" s="113"/>
      <c r="AF647" s="113"/>
      <c r="AG647" s="113"/>
      <c r="AH647" s="113"/>
    </row>
    <row r="648" spans="1:34" ht="15.5" x14ac:dyDescent="0.35">
      <c r="A648" s="66"/>
      <c r="B648" s="1653">
        <v>1</v>
      </c>
      <c r="C648" s="1654"/>
      <c r="D648" s="1654"/>
      <c r="E648" s="1654"/>
      <c r="F648" s="1654"/>
      <c r="G648" s="1654"/>
      <c r="H648" s="1655"/>
      <c r="I648" s="1918">
        <v>2</v>
      </c>
      <c r="J648" s="1919"/>
      <c r="K648" s="1918">
        <v>3</v>
      </c>
      <c r="L648" s="1919"/>
      <c r="M648" s="536">
        <v>4</v>
      </c>
      <c r="N648" s="1918">
        <v>5</v>
      </c>
      <c r="O648" s="1917"/>
      <c r="P648" s="215"/>
      <c r="Q648" s="215"/>
      <c r="R648" s="215"/>
      <c r="S648" s="215"/>
      <c r="T648" s="215"/>
      <c r="U648" s="215"/>
      <c r="V648" s="215"/>
      <c r="W648" s="215"/>
      <c r="X648" s="215"/>
      <c r="Y648" s="215"/>
      <c r="Z648" s="215"/>
      <c r="AA648" s="215"/>
      <c r="AB648" s="215"/>
      <c r="AC648" s="215"/>
    </row>
    <row r="649" spans="1:34" x14ac:dyDescent="0.3">
      <c r="A649" s="66"/>
      <c r="B649" s="55" t="s">
        <v>73</v>
      </c>
      <c r="C649" s="56"/>
      <c r="D649" s="56"/>
      <c r="E649" s="56"/>
      <c r="F649" s="56"/>
      <c r="G649" s="56"/>
      <c r="H649" s="56"/>
      <c r="I649" s="172"/>
      <c r="J649" s="173"/>
      <c r="K649" s="172"/>
      <c r="L649" s="173"/>
      <c r="M649" s="172"/>
      <c r="N649" s="79"/>
      <c r="O649" s="174"/>
      <c r="P649" s="215"/>
      <c r="Q649" s="215"/>
      <c r="R649" s="215"/>
      <c r="S649" s="215"/>
      <c r="T649" s="215"/>
      <c r="U649" s="215"/>
      <c r="V649" s="215"/>
      <c r="W649" s="215"/>
      <c r="X649" s="215"/>
      <c r="Y649" s="215"/>
      <c r="Z649" s="215"/>
      <c r="AA649" s="215"/>
      <c r="AB649" s="215"/>
      <c r="AC649" s="215"/>
    </row>
    <row r="650" spans="1:34" x14ac:dyDescent="0.3">
      <c r="A650" s="66"/>
      <c r="B650" s="175" t="s">
        <v>320</v>
      </c>
      <c r="C650" s="79"/>
      <c r="D650" s="79"/>
      <c r="E650" s="79"/>
      <c r="F650" s="79"/>
      <c r="G650" s="79"/>
      <c r="H650" s="79"/>
      <c r="I650" s="176"/>
      <c r="J650" s="79"/>
      <c r="K650" s="176"/>
      <c r="L650" s="79"/>
      <c r="M650" s="176"/>
      <c r="N650" s="79"/>
      <c r="O650" s="174"/>
      <c r="P650" s="215"/>
      <c r="Q650" s="215"/>
      <c r="R650" s="215"/>
      <c r="S650" s="215"/>
      <c r="T650" s="215"/>
      <c r="U650" s="215"/>
      <c r="V650" s="215"/>
      <c r="W650" s="215"/>
      <c r="X650" s="215"/>
      <c r="Y650" s="215"/>
      <c r="Z650" s="215"/>
      <c r="AA650" s="215"/>
      <c r="AB650" s="215"/>
      <c r="AC650" s="215"/>
    </row>
    <row r="651" spans="1:34" ht="15.5" x14ac:dyDescent="0.35">
      <c r="A651" s="66"/>
      <c r="B651" s="177"/>
      <c r="C651" s="79" t="s">
        <v>74</v>
      </c>
      <c r="D651" s="79"/>
      <c r="E651" s="79"/>
      <c r="F651" s="79"/>
      <c r="G651" s="79"/>
      <c r="H651" s="79"/>
      <c r="I651" s="1644">
        <v>0</v>
      </c>
      <c r="J651" s="1645"/>
      <c r="K651" s="1644">
        <v>0</v>
      </c>
      <c r="L651" s="1645"/>
      <c r="M651" s="178">
        <f>I651-K651</f>
        <v>0</v>
      </c>
      <c r="N651" s="1651">
        <f t="shared" ref="N651:N669" si="79">IF(I651=0,0,(K651/I651)*100)</f>
        <v>0</v>
      </c>
      <c r="O651" s="1652"/>
      <c r="P651" s="215"/>
      <c r="Q651" s="215"/>
      <c r="R651" s="215"/>
      <c r="S651" s="215"/>
      <c r="T651" s="215"/>
      <c r="U651" s="215"/>
      <c r="V651" s="215"/>
      <c r="W651" s="215"/>
      <c r="X651" s="215"/>
      <c r="Y651" s="215"/>
      <c r="Z651" s="215"/>
      <c r="AA651" s="215"/>
      <c r="AB651" s="215"/>
      <c r="AC651" s="215"/>
    </row>
    <row r="652" spans="1:34" ht="15.5" x14ac:dyDescent="0.35">
      <c r="A652" s="66"/>
      <c r="B652" s="177"/>
      <c r="C652" s="79" t="s">
        <v>75</v>
      </c>
      <c r="D652" s="79"/>
      <c r="E652" s="79"/>
      <c r="F652" s="79"/>
      <c r="G652" s="79"/>
      <c r="H652" s="79"/>
      <c r="I652" s="1644">
        <v>0</v>
      </c>
      <c r="J652" s="1645"/>
      <c r="K652" s="1625">
        <v>0</v>
      </c>
      <c r="L652" s="1698"/>
      <c r="M652" s="178">
        <f t="shared" ref="M652:M657" si="80">I652-K652</f>
        <v>0</v>
      </c>
      <c r="N652" s="1651">
        <f t="shared" si="79"/>
        <v>0</v>
      </c>
      <c r="O652" s="1652"/>
      <c r="P652" s="215"/>
      <c r="Q652" s="215"/>
      <c r="R652" s="215"/>
      <c r="S652" s="215"/>
      <c r="T652" s="215"/>
      <c r="U652" s="215"/>
      <c r="V652" s="215"/>
      <c r="W652" s="215"/>
      <c r="X652" s="215"/>
      <c r="Y652" s="215"/>
      <c r="Z652" s="215"/>
      <c r="AA652" s="215"/>
      <c r="AB652" s="215"/>
      <c r="AC652" s="215"/>
    </row>
    <row r="653" spans="1:34" ht="15.5" x14ac:dyDescent="0.35">
      <c r="A653" s="66"/>
      <c r="B653" s="177"/>
      <c r="C653" s="346" t="s">
        <v>1728</v>
      </c>
      <c r="D653" s="79"/>
      <c r="E653" s="79"/>
      <c r="F653" s="79"/>
      <c r="G653" s="79"/>
      <c r="H653" s="79"/>
      <c r="I653" s="1906">
        <f>SUM(I654:J659)</f>
        <v>0</v>
      </c>
      <c r="J653" s="1695"/>
      <c r="K653" s="1907">
        <f>SUM(K654:L659)</f>
        <v>0</v>
      </c>
      <c r="L653" s="1697"/>
      <c r="M653" s="178">
        <f t="shared" si="80"/>
        <v>0</v>
      </c>
      <c r="N653" s="1651">
        <f t="shared" si="79"/>
        <v>0</v>
      </c>
      <c r="O653" s="1652"/>
      <c r="P653" s="215"/>
      <c r="Q653" s="215"/>
      <c r="R653" s="215"/>
      <c r="S653" s="215"/>
      <c r="T653" s="215"/>
      <c r="U653" s="215"/>
      <c r="V653" s="215"/>
      <c r="W653" s="215"/>
      <c r="X653" s="215"/>
      <c r="Y653" s="215"/>
      <c r="Z653" s="215"/>
      <c r="AA653" s="215"/>
      <c r="AB653" s="215"/>
      <c r="AC653" s="215"/>
    </row>
    <row r="654" spans="1:34" ht="16.5" customHeight="1" x14ac:dyDescent="0.35">
      <c r="A654" s="66"/>
      <c r="B654" s="177"/>
      <c r="C654" s="79" t="s">
        <v>321</v>
      </c>
      <c r="D654" s="346" t="s">
        <v>1722</v>
      </c>
      <c r="E654" s="66"/>
      <c r="F654" s="79"/>
      <c r="G654" s="79"/>
      <c r="H654" s="79"/>
      <c r="I654" s="1644"/>
      <c r="J654" s="1645"/>
      <c r="K654" s="1625"/>
      <c r="L654" s="1698"/>
      <c r="M654" s="178">
        <f t="shared" si="80"/>
        <v>0</v>
      </c>
      <c r="N654" s="1651">
        <f t="shared" si="79"/>
        <v>0</v>
      </c>
      <c r="O654" s="1652"/>
      <c r="P654" s="215"/>
      <c r="Q654" s="215"/>
      <c r="R654" s="215"/>
      <c r="S654" s="215"/>
      <c r="T654" s="215"/>
      <c r="U654" s="215"/>
      <c r="V654" s="215"/>
      <c r="W654" s="215"/>
      <c r="X654" s="215"/>
      <c r="Y654" s="215"/>
      <c r="Z654" s="215"/>
      <c r="AA654" s="215"/>
      <c r="AB654" s="215"/>
      <c r="AC654" s="215"/>
    </row>
    <row r="655" spans="1:34" ht="15.5" x14ac:dyDescent="0.35">
      <c r="A655" s="66"/>
      <c r="B655" s="177"/>
      <c r="C655" s="79" t="s">
        <v>322</v>
      </c>
      <c r="D655" s="346" t="s">
        <v>1723</v>
      </c>
      <c r="E655" s="66"/>
      <c r="F655" s="79"/>
      <c r="G655" s="79"/>
      <c r="H655" s="79"/>
      <c r="I655" s="1644"/>
      <c r="J655" s="1645"/>
      <c r="K655" s="1625"/>
      <c r="L655" s="1698"/>
      <c r="M655" s="178">
        <f t="shared" si="80"/>
        <v>0</v>
      </c>
      <c r="N655" s="1651">
        <f>IF(I655=0,0,(K655/I655)*100)</f>
        <v>0</v>
      </c>
      <c r="O655" s="1652"/>
      <c r="P655" s="215"/>
      <c r="Q655" s="215"/>
      <c r="R655" s="215"/>
      <c r="S655" s="215"/>
      <c r="T655" s="215"/>
      <c r="U655" s="215"/>
      <c r="V655" s="215"/>
      <c r="W655" s="215"/>
      <c r="X655" s="215"/>
      <c r="Y655" s="215"/>
      <c r="Z655" s="215"/>
      <c r="AA655" s="215"/>
      <c r="AB655" s="215"/>
      <c r="AC655" s="215"/>
    </row>
    <row r="656" spans="1:34" ht="15.5" x14ac:dyDescent="0.35">
      <c r="A656" s="66"/>
      <c r="B656" s="177"/>
      <c r="C656" s="79" t="s">
        <v>323</v>
      </c>
      <c r="D656" s="346" t="s">
        <v>1724</v>
      </c>
      <c r="E656" s="79"/>
      <c r="F656" s="79"/>
      <c r="G656" s="79"/>
      <c r="H656" s="79"/>
      <c r="I656" s="1644"/>
      <c r="J656" s="1645"/>
      <c r="K656" s="1625"/>
      <c r="L656" s="1698"/>
      <c r="M656" s="178">
        <f t="shared" si="80"/>
        <v>0</v>
      </c>
      <c r="N656" s="1651">
        <f t="shared" si="79"/>
        <v>0</v>
      </c>
      <c r="O656" s="1652"/>
      <c r="P656" s="215"/>
      <c r="Q656" s="215"/>
      <c r="R656" s="215"/>
      <c r="S656" s="215"/>
      <c r="T656" s="215"/>
      <c r="U656" s="215"/>
      <c r="V656" s="215"/>
      <c r="W656" s="215"/>
      <c r="X656" s="215"/>
      <c r="Y656" s="215"/>
      <c r="Z656" s="215"/>
      <c r="AA656" s="215"/>
      <c r="AB656" s="215"/>
      <c r="AC656" s="215"/>
    </row>
    <row r="657" spans="1:34" ht="15.5" x14ac:dyDescent="0.35">
      <c r="A657" s="66"/>
      <c r="B657" s="177"/>
      <c r="C657" s="79" t="s">
        <v>324</v>
      </c>
      <c r="D657" s="346" t="s">
        <v>1725</v>
      </c>
      <c r="E657" s="79"/>
      <c r="F657" s="79"/>
      <c r="G657" s="79"/>
      <c r="H657" s="79"/>
      <c r="I657" s="1644"/>
      <c r="J657" s="1645"/>
      <c r="K657" s="1625"/>
      <c r="L657" s="1698"/>
      <c r="M657" s="178">
        <f t="shared" si="80"/>
        <v>0</v>
      </c>
      <c r="N657" s="1651">
        <f t="shared" si="79"/>
        <v>0</v>
      </c>
      <c r="O657" s="1652"/>
      <c r="P657" s="215"/>
      <c r="Q657" s="215"/>
      <c r="R657" s="215"/>
      <c r="S657" s="215"/>
      <c r="T657" s="215"/>
      <c r="U657" s="215"/>
      <c r="V657" s="215"/>
      <c r="W657" s="215"/>
      <c r="X657" s="215"/>
      <c r="Y657" s="215"/>
      <c r="Z657" s="215"/>
      <c r="AA657" s="215"/>
      <c r="AB657" s="215"/>
      <c r="AC657" s="215"/>
    </row>
    <row r="658" spans="1:34" ht="15.5" x14ac:dyDescent="0.35">
      <c r="A658" s="66"/>
      <c r="B658" s="177"/>
      <c r="C658" s="440" t="s">
        <v>325</v>
      </c>
      <c r="D658" s="440" t="s">
        <v>326</v>
      </c>
      <c r="E658" s="440"/>
      <c r="F658" s="440"/>
      <c r="G658" s="440"/>
      <c r="H658" s="440"/>
      <c r="I658" s="1644"/>
      <c r="J658" s="1645"/>
      <c r="K658" s="1625"/>
      <c r="L658" s="1698"/>
      <c r="M658" s="178">
        <f>I658-K658</f>
        <v>0</v>
      </c>
      <c r="N658" s="1651">
        <f t="shared" si="79"/>
        <v>0</v>
      </c>
      <c r="O658" s="1652"/>
      <c r="P658" s="215"/>
      <c r="Q658" s="215"/>
      <c r="R658" s="215"/>
      <c r="S658" s="215"/>
      <c r="T658" s="215"/>
      <c r="U658" s="215"/>
      <c r="V658" s="215"/>
      <c r="W658" s="215"/>
      <c r="X658" s="215"/>
      <c r="Y658" s="215"/>
      <c r="Z658" s="215"/>
      <c r="AA658" s="215"/>
      <c r="AB658" s="215"/>
      <c r="AC658" s="215"/>
    </row>
    <row r="659" spans="1:34" ht="15.5" x14ac:dyDescent="0.35">
      <c r="A659" s="66"/>
      <c r="B659" s="177"/>
      <c r="C659" s="440" t="s">
        <v>157</v>
      </c>
      <c r="D659" s="440" t="s">
        <v>327</v>
      </c>
      <c r="E659" s="440"/>
      <c r="F659" s="440"/>
      <c r="G659" s="440"/>
      <c r="H659" s="79"/>
      <c r="I659" s="1644"/>
      <c r="J659" s="1645"/>
      <c r="K659" s="1625"/>
      <c r="L659" s="1698"/>
      <c r="M659" s="178">
        <f>I659-K659</f>
        <v>0</v>
      </c>
      <c r="N659" s="1651">
        <f t="shared" si="79"/>
        <v>0</v>
      </c>
      <c r="O659" s="1652"/>
      <c r="P659" s="215"/>
      <c r="Q659" s="215"/>
      <c r="R659" s="215"/>
      <c r="S659" s="215"/>
      <c r="T659" s="215"/>
      <c r="U659" s="215"/>
      <c r="V659" s="215"/>
      <c r="W659" s="215"/>
      <c r="X659" s="215"/>
      <c r="Y659" s="215"/>
      <c r="Z659" s="215"/>
      <c r="AA659" s="215"/>
      <c r="AB659" s="215"/>
      <c r="AC659" s="215"/>
      <c r="AD659" s="69"/>
    </row>
    <row r="660" spans="1:34" ht="15.5" x14ac:dyDescent="0.35">
      <c r="A660" s="66"/>
      <c r="B660" s="177"/>
      <c r="C660" s="440" t="s">
        <v>1126</v>
      </c>
      <c r="D660" s="440" t="s">
        <v>328</v>
      </c>
      <c r="E660" s="440"/>
      <c r="F660" s="440"/>
      <c r="G660" s="440"/>
      <c r="H660" s="79"/>
      <c r="I660" s="1644"/>
      <c r="J660" s="1645"/>
      <c r="K660" s="1625"/>
      <c r="L660" s="1698"/>
      <c r="M660" s="178"/>
      <c r="N660" s="179"/>
      <c r="O660" s="155"/>
      <c r="P660" s="215"/>
      <c r="Q660" s="215"/>
      <c r="R660" s="215"/>
      <c r="S660" s="215"/>
      <c r="T660" s="215"/>
      <c r="U660" s="215"/>
      <c r="V660" s="215"/>
      <c r="W660" s="215"/>
      <c r="X660" s="215"/>
      <c r="Y660" s="215"/>
      <c r="Z660" s="215"/>
      <c r="AA660" s="215"/>
      <c r="AB660" s="215"/>
      <c r="AC660" s="215"/>
    </row>
    <row r="661" spans="1:34" ht="15.5" x14ac:dyDescent="0.35">
      <c r="A661" s="66"/>
      <c r="B661" s="177"/>
      <c r="C661" s="180" t="s">
        <v>329</v>
      </c>
      <c r="D661" s="79"/>
      <c r="E661" s="79"/>
      <c r="F661" s="79"/>
      <c r="G661" s="79"/>
      <c r="H661" s="79"/>
      <c r="I661" s="1906">
        <f>SUM(I662:J664)</f>
        <v>0</v>
      </c>
      <c r="J661" s="1695"/>
      <c r="K661" s="1907">
        <f>SUM(K662:L664)</f>
        <v>0</v>
      </c>
      <c r="L661" s="1697"/>
      <c r="M661" s="178">
        <f t="shared" ref="M661:M671" si="81">I661-K661</f>
        <v>0</v>
      </c>
      <c r="N661" s="1651">
        <f t="shared" si="79"/>
        <v>0</v>
      </c>
      <c r="O661" s="1652"/>
      <c r="P661" s="215"/>
      <c r="Q661" s="215"/>
      <c r="R661" s="215"/>
      <c r="S661" s="215"/>
      <c r="T661" s="215"/>
      <c r="U661" s="215"/>
      <c r="V661" s="215"/>
      <c r="W661" s="215"/>
      <c r="X661" s="215"/>
      <c r="Y661" s="215"/>
      <c r="Z661" s="215"/>
      <c r="AA661" s="215"/>
      <c r="AB661" s="215"/>
      <c r="AC661" s="215"/>
    </row>
    <row r="662" spans="1:34" ht="15.5" x14ac:dyDescent="0.35">
      <c r="A662" s="66"/>
      <c r="B662" s="177"/>
      <c r="C662" s="180" t="s">
        <v>321</v>
      </c>
      <c r="D662" s="180" t="s">
        <v>330</v>
      </c>
      <c r="E662" s="181"/>
      <c r="F662" s="180"/>
      <c r="G662" s="180"/>
      <c r="H662" s="180"/>
      <c r="I662" s="1644"/>
      <c r="J662" s="1645"/>
      <c r="K662" s="1625"/>
      <c r="L662" s="1698"/>
      <c r="M662" s="178">
        <f t="shared" si="81"/>
        <v>0</v>
      </c>
      <c r="N662" s="1651">
        <f>IF(I662=0,0,(K662/I662)*100)</f>
        <v>0</v>
      </c>
      <c r="O662" s="1652"/>
      <c r="P662" s="215"/>
      <c r="Q662" s="215"/>
      <c r="R662" s="215"/>
      <c r="S662" s="215"/>
      <c r="T662" s="215"/>
      <c r="U662" s="215"/>
      <c r="V662" s="215"/>
      <c r="W662" s="215"/>
      <c r="X662" s="215"/>
      <c r="Y662" s="215"/>
      <c r="Z662" s="215"/>
      <c r="AA662" s="215"/>
      <c r="AB662" s="215"/>
      <c r="AC662" s="215"/>
    </row>
    <row r="663" spans="1:34" ht="15.5" x14ac:dyDescent="0.35">
      <c r="A663" s="66"/>
      <c r="B663" s="177"/>
      <c r="C663" s="180" t="s">
        <v>322</v>
      </c>
      <c r="D663" s="180" t="s">
        <v>331</v>
      </c>
      <c r="E663" s="181"/>
      <c r="F663" s="180"/>
      <c r="G663" s="180"/>
      <c r="H663" s="180"/>
      <c r="I663" s="1644"/>
      <c r="J663" s="1645"/>
      <c r="K663" s="1625"/>
      <c r="L663" s="1698"/>
      <c r="M663" s="178">
        <f t="shared" si="81"/>
        <v>0</v>
      </c>
      <c r="N663" s="1651">
        <f>IF(I663=0,0,(K663/I663)*100)</f>
        <v>0</v>
      </c>
      <c r="O663" s="1652"/>
      <c r="P663" s="215"/>
      <c r="Q663" s="215"/>
      <c r="R663" s="215"/>
      <c r="S663" s="215"/>
      <c r="T663" s="215"/>
      <c r="U663" s="215"/>
      <c r="V663" s="215"/>
      <c r="W663" s="215"/>
      <c r="X663" s="215"/>
      <c r="Y663" s="215"/>
      <c r="Z663" s="215"/>
      <c r="AA663" s="215"/>
      <c r="AB663" s="215"/>
      <c r="AC663" s="215"/>
    </row>
    <row r="664" spans="1:34" ht="15.5" x14ac:dyDescent="0.35">
      <c r="A664" s="66"/>
      <c r="B664" s="177"/>
      <c r="C664" s="180" t="s">
        <v>323</v>
      </c>
      <c r="D664" s="180" t="s">
        <v>332</v>
      </c>
      <c r="E664" s="180"/>
      <c r="F664" s="180"/>
      <c r="G664" s="180"/>
      <c r="H664" s="180"/>
      <c r="I664" s="1644"/>
      <c r="J664" s="1645"/>
      <c r="K664" s="1625"/>
      <c r="L664" s="1698"/>
      <c r="M664" s="178">
        <f t="shared" si="81"/>
        <v>0</v>
      </c>
      <c r="N664" s="1651">
        <f>IF(I664=0,0,(K664/I664)*100)</f>
        <v>0</v>
      </c>
      <c r="O664" s="1652"/>
      <c r="P664" s="215"/>
      <c r="Q664" s="215"/>
      <c r="R664" s="215"/>
      <c r="S664" s="215"/>
      <c r="T664" s="215"/>
      <c r="U664" s="215"/>
      <c r="V664" s="215"/>
      <c r="W664" s="215"/>
      <c r="X664" s="215"/>
      <c r="Y664" s="215"/>
      <c r="Z664" s="215"/>
      <c r="AA664" s="215"/>
      <c r="AB664" s="215"/>
      <c r="AC664" s="215"/>
    </row>
    <row r="665" spans="1:34" ht="15.5" x14ac:dyDescent="0.35">
      <c r="A665" s="66"/>
      <c r="B665" s="177"/>
      <c r="C665" s="346" t="s">
        <v>1729</v>
      </c>
      <c r="D665" s="180"/>
      <c r="E665" s="180"/>
      <c r="F665" s="180"/>
      <c r="G665" s="180"/>
      <c r="H665" s="180"/>
      <c r="I665" s="1644"/>
      <c r="J665" s="1645"/>
      <c r="K665" s="1625"/>
      <c r="L665" s="1698"/>
      <c r="M665" s="178">
        <f t="shared" si="81"/>
        <v>0</v>
      </c>
      <c r="N665" s="349"/>
      <c r="O665" s="348"/>
      <c r="P665" s="215"/>
      <c r="Q665" s="215"/>
      <c r="R665" s="215"/>
      <c r="S665" s="215"/>
      <c r="T665" s="215"/>
      <c r="U665" s="215"/>
      <c r="V665" s="215"/>
      <c r="W665" s="215"/>
      <c r="X665" s="215"/>
      <c r="Y665" s="215"/>
      <c r="Z665" s="215"/>
      <c r="AA665" s="215"/>
      <c r="AB665" s="215"/>
      <c r="AC665" s="215"/>
      <c r="AE665" s="345"/>
      <c r="AF665" s="345"/>
      <c r="AG665" s="345"/>
      <c r="AH665" s="345"/>
    </row>
    <row r="666" spans="1:34" ht="15.5" x14ac:dyDescent="0.35">
      <c r="A666" s="66"/>
      <c r="B666" s="177"/>
      <c r="C666" s="1656" t="s">
        <v>1726</v>
      </c>
      <c r="D666" s="1656"/>
      <c r="E666" s="1656"/>
      <c r="F666" s="1656"/>
      <c r="G666" s="1656"/>
      <c r="H666" s="1657"/>
      <c r="I666" s="1644"/>
      <c r="J666" s="1645"/>
      <c r="K666" s="1625"/>
      <c r="L666" s="1698"/>
      <c r="M666" s="178">
        <f t="shared" si="81"/>
        <v>0</v>
      </c>
      <c r="N666" s="1651">
        <f>IF(I666=0,0,(K666/I666)*100)</f>
        <v>0</v>
      </c>
      <c r="O666" s="1652"/>
      <c r="P666" s="215"/>
      <c r="Q666" s="215"/>
      <c r="R666" s="215"/>
      <c r="S666" s="215"/>
      <c r="T666" s="215"/>
      <c r="U666" s="215"/>
      <c r="V666" s="215"/>
      <c r="W666" s="215"/>
      <c r="X666" s="215"/>
      <c r="Y666" s="215"/>
      <c r="Z666" s="215"/>
      <c r="AA666" s="215"/>
      <c r="AB666" s="215"/>
      <c r="AC666" s="215"/>
    </row>
    <row r="667" spans="1:34" ht="15.5" x14ac:dyDescent="0.35">
      <c r="A667" s="66"/>
      <c r="B667" s="177"/>
      <c r="C667" s="1656" t="s">
        <v>76</v>
      </c>
      <c r="D667" s="1656"/>
      <c r="E667" s="1656"/>
      <c r="F667" s="1656"/>
      <c r="G667" s="1656"/>
      <c r="H667" s="1657"/>
      <c r="I667" s="1644"/>
      <c r="J667" s="1645"/>
      <c r="K667" s="1625"/>
      <c r="L667" s="1698"/>
      <c r="M667" s="178">
        <f>I667-K667</f>
        <v>0</v>
      </c>
      <c r="N667" s="1651">
        <f>IF(I667=0,0,(K667/I667)*100)</f>
        <v>0</v>
      </c>
      <c r="O667" s="1652"/>
      <c r="P667" s="215"/>
      <c r="Q667" s="215"/>
      <c r="R667" s="215"/>
      <c r="S667" s="215"/>
      <c r="T667" s="215"/>
      <c r="U667" s="215"/>
      <c r="V667" s="215"/>
      <c r="W667" s="215"/>
      <c r="X667" s="215"/>
      <c r="Y667" s="215"/>
      <c r="Z667" s="215"/>
      <c r="AA667" s="215"/>
      <c r="AB667" s="215"/>
      <c r="AC667" s="215"/>
    </row>
    <row r="668" spans="1:34" ht="15.5" x14ac:dyDescent="0.35">
      <c r="A668" s="66"/>
      <c r="B668" s="177"/>
      <c r="C668" s="1656" t="s">
        <v>1901</v>
      </c>
      <c r="D668" s="1656"/>
      <c r="E668" s="1656"/>
      <c r="F668" s="1656"/>
      <c r="G668" s="1656"/>
      <c r="H668" s="1657"/>
      <c r="I668" s="1904"/>
      <c r="J668" s="1905"/>
      <c r="K668" s="1904"/>
      <c r="L668" s="1905"/>
      <c r="M668" s="178">
        <f t="shared" si="81"/>
        <v>0</v>
      </c>
      <c r="N668" s="1651">
        <f t="shared" si="79"/>
        <v>0</v>
      </c>
      <c r="O668" s="1652"/>
      <c r="P668" s="215"/>
      <c r="Q668" s="215"/>
      <c r="R668" s="215"/>
      <c r="S668" s="215"/>
      <c r="T668" s="215"/>
      <c r="U668" s="215"/>
      <c r="V668" s="215"/>
      <c r="W668" s="215"/>
      <c r="X668" s="215"/>
      <c r="Y668" s="215"/>
      <c r="Z668" s="215"/>
      <c r="AA668" s="215"/>
      <c r="AB668" s="215"/>
      <c r="AC668" s="215"/>
    </row>
    <row r="669" spans="1:34" ht="15.5" x14ac:dyDescent="0.35">
      <c r="A669" s="66"/>
      <c r="B669" s="177"/>
      <c r="C669" s="1656" t="s">
        <v>1727</v>
      </c>
      <c r="D669" s="1656"/>
      <c r="E669" s="1656"/>
      <c r="F669" s="1656"/>
      <c r="G669" s="1656"/>
      <c r="H669" s="1657"/>
      <c r="I669" s="1644"/>
      <c r="J669" s="1645"/>
      <c r="K669" s="1625"/>
      <c r="L669" s="1698"/>
      <c r="M669" s="178">
        <f t="shared" si="81"/>
        <v>0</v>
      </c>
      <c r="N669" s="1651">
        <f t="shared" si="79"/>
        <v>0</v>
      </c>
      <c r="O669" s="1652"/>
      <c r="P669" s="215"/>
      <c r="Q669" s="215"/>
      <c r="R669" s="215"/>
      <c r="S669" s="215"/>
      <c r="T669" s="215"/>
      <c r="U669" s="215"/>
      <c r="V669" s="215"/>
      <c r="W669" s="215"/>
      <c r="X669" s="215"/>
      <c r="Y669" s="215"/>
      <c r="Z669" s="215"/>
      <c r="AA669" s="215"/>
      <c r="AB669" s="215"/>
      <c r="AC669" s="215"/>
    </row>
    <row r="670" spans="1:34" ht="15.5" x14ac:dyDescent="0.35">
      <c r="A670" s="66"/>
      <c r="B670" s="177"/>
      <c r="C670" s="1623" t="s">
        <v>1902</v>
      </c>
      <c r="D670" s="1623"/>
      <c r="E670" s="1623"/>
      <c r="F670" s="1623"/>
      <c r="G670" s="1623"/>
      <c r="H670" s="1624"/>
      <c r="I670" s="1644"/>
      <c r="J670" s="1645"/>
      <c r="K670" s="1625"/>
      <c r="L670" s="1698"/>
      <c r="M670" s="178">
        <f t="shared" si="81"/>
        <v>0</v>
      </c>
      <c r="N670" s="1651">
        <f>IF(I670=0,0,(K670/I670)*100)</f>
        <v>0</v>
      </c>
      <c r="O670" s="1652"/>
      <c r="P670" s="215"/>
      <c r="Q670" s="215"/>
      <c r="R670" s="215"/>
      <c r="S670" s="215"/>
      <c r="T670" s="215"/>
      <c r="U670" s="215"/>
      <c r="V670" s="215"/>
      <c r="W670" s="215"/>
      <c r="X670" s="215"/>
      <c r="Y670" s="215"/>
      <c r="Z670" s="215"/>
      <c r="AA670" s="215"/>
      <c r="AB670" s="215"/>
      <c r="AC670" s="215"/>
    </row>
    <row r="671" spans="1:34" ht="15.5" x14ac:dyDescent="0.35">
      <c r="A671" s="66"/>
      <c r="B671" s="177"/>
      <c r="C671" s="1623" t="s">
        <v>77</v>
      </c>
      <c r="D671" s="1623"/>
      <c r="E671" s="1623"/>
      <c r="F671" s="1623"/>
      <c r="G671" s="1623"/>
      <c r="H671" s="1624"/>
      <c r="I671" s="1644">
        <v>6258600</v>
      </c>
      <c r="J671" s="1645"/>
      <c r="K671" s="1644">
        <v>365000</v>
      </c>
      <c r="L671" s="1645"/>
      <c r="M671" s="178">
        <f t="shared" si="81"/>
        <v>5893600</v>
      </c>
      <c r="N671" s="422"/>
      <c r="O671" s="423"/>
      <c r="P671" s="215"/>
      <c r="Q671" s="215"/>
      <c r="R671" s="215"/>
      <c r="S671" s="215"/>
      <c r="T671" s="215"/>
      <c r="U671" s="215"/>
      <c r="V671" s="215"/>
      <c r="W671" s="215"/>
      <c r="X671" s="215"/>
      <c r="Y671" s="215"/>
      <c r="Z671" s="215"/>
      <c r="AA671" s="215"/>
      <c r="AB671" s="215"/>
      <c r="AC671" s="215"/>
      <c r="AE671" s="424"/>
      <c r="AF671" s="424"/>
      <c r="AG671" s="424"/>
      <c r="AH671" s="424"/>
    </row>
    <row r="672" spans="1:34" ht="15.5" x14ac:dyDescent="0.35">
      <c r="A672" s="66"/>
      <c r="B672" s="177"/>
      <c r="C672" s="79"/>
      <c r="D672" s="182" t="s">
        <v>333</v>
      </c>
      <c r="E672" s="79"/>
      <c r="F672" s="79"/>
      <c r="G672" s="79"/>
      <c r="H672" s="79"/>
      <c r="I672" s="1694">
        <f>SUM(I651:I671)-I653-I661</f>
        <v>6258600</v>
      </c>
      <c r="J672" s="1695"/>
      <c r="K672" s="1696">
        <f>SUM(K651:K671)-K653-K661</f>
        <v>365000</v>
      </c>
      <c r="L672" s="1697"/>
      <c r="M672" s="183">
        <f>I672-K672</f>
        <v>5893600</v>
      </c>
      <c r="N672" s="1658">
        <f>M672/K672*100</f>
        <v>1614.6849315068494</v>
      </c>
      <c r="O672" s="1652"/>
      <c r="P672" s="215"/>
      <c r="Q672" s="215"/>
      <c r="R672" s="215"/>
      <c r="S672" s="215"/>
      <c r="T672" s="215"/>
      <c r="U672" s="215"/>
      <c r="V672" s="215"/>
      <c r="W672" s="215"/>
      <c r="X672" s="215"/>
      <c r="Y672" s="215"/>
      <c r="Z672" s="215"/>
      <c r="AA672" s="215"/>
      <c r="AB672" s="215"/>
      <c r="AC672" s="215"/>
    </row>
    <row r="673" spans="1:34" x14ac:dyDescent="0.3">
      <c r="A673" s="66"/>
      <c r="B673" s="177"/>
      <c r="C673" s="79"/>
      <c r="D673" s="79"/>
      <c r="E673" s="79"/>
      <c r="F673" s="79"/>
      <c r="G673" s="79"/>
      <c r="H673" s="79"/>
      <c r="I673" s="176"/>
      <c r="J673" s="79"/>
      <c r="K673" s="176"/>
      <c r="L673" s="79"/>
      <c r="M673" s="184"/>
      <c r="N673" s="79"/>
      <c r="O673" s="174"/>
      <c r="P673" s="215"/>
      <c r="Q673" s="215"/>
      <c r="R673" s="215"/>
      <c r="S673" s="215"/>
      <c r="T673" s="215"/>
      <c r="U673" s="215"/>
      <c r="V673" s="215"/>
      <c r="W673" s="215"/>
      <c r="X673" s="215"/>
      <c r="Y673" s="215"/>
      <c r="Z673" s="215"/>
      <c r="AA673" s="215"/>
      <c r="AB673" s="215"/>
      <c r="AC673" s="215"/>
    </row>
    <row r="674" spans="1:34" x14ac:dyDescent="0.3">
      <c r="A674" s="454"/>
      <c r="B674" s="441" t="s">
        <v>334</v>
      </c>
      <c r="C674" s="350"/>
      <c r="D674" s="350"/>
      <c r="E674" s="350"/>
      <c r="F674" s="350"/>
      <c r="G674" s="350"/>
      <c r="H674" s="350"/>
      <c r="I674" s="442"/>
      <c r="J674" s="350"/>
      <c r="K674" s="442"/>
      <c r="L674" s="350"/>
      <c r="M674" s="443"/>
      <c r="N674" s="350"/>
      <c r="O674" s="444"/>
      <c r="P674" s="215"/>
      <c r="Q674" s="215"/>
      <c r="R674" s="215"/>
      <c r="S674" s="215"/>
      <c r="T674" s="215"/>
      <c r="U674" s="215"/>
      <c r="V674" s="215"/>
      <c r="W674" s="215"/>
      <c r="X674" s="215"/>
      <c r="Y674" s="215"/>
      <c r="Z674" s="215"/>
      <c r="AA674" s="215"/>
      <c r="AB674" s="215"/>
      <c r="AC674" s="215"/>
    </row>
    <row r="675" spans="1:34" ht="15.5" x14ac:dyDescent="0.35">
      <c r="A675" s="454"/>
      <c r="B675" s="445"/>
      <c r="C675" s="350" t="s">
        <v>335</v>
      </c>
      <c r="D675" s="350"/>
      <c r="E675" s="350"/>
      <c r="F675" s="350"/>
      <c r="G675" s="350"/>
      <c r="H675" s="350"/>
      <c r="I675" s="1911">
        <v>0</v>
      </c>
      <c r="J675" s="1912"/>
      <c r="K675" s="1911">
        <v>0</v>
      </c>
      <c r="L675" s="1912"/>
      <c r="M675" s="446">
        <f>I675-K675</f>
        <v>0</v>
      </c>
      <c r="N675" s="1913">
        <f>IF(I675=0,0,(K675/I675)*100)</f>
        <v>0</v>
      </c>
      <c r="O675" s="1622"/>
      <c r="P675" s="215"/>
      <c r="Q675" s="215"/>
      <c r="R675" s="215"/>
      <c r="S675" s="215"/>
      <c r="T675" s="215"/>
      <c r="U675" s="215"/>
      <c r="V675" s="215"/>
      <c r="W675" s="215"/>
      <c r="X675" s="215"/>
      <c r="Y675" s="215"/>
      <c r="Z675" s="215"/>
      <c r="AA675" s="215"/>
      <c r="AB675" s="215"/>
      <c r="AC675" s="215"/>
    </row>
    <row r="676" spans="1:34" ht="15.5" x14ac:dyDescent="0.35">
      <c r="A676" s="454"/>
      <c r="B676" s="445"/>
      <c r="C676" s="350" t="s">
        <v>336</v>
      </c>
      <c r="D676" s="350"/>
      <c r="E676" s="350"/>
      <c r="F676" s="350"/>
      <c r="G676" s="350"/>
      <c r="H676" s="350"/>
      <c r="I676" s="1911">
        <v>0</v>
      </c>
      <c r="J676" s="1912"/>
      <c r="K676" s="1911">
        <v>0</v>
      </c>
      <c r="L676" s="1912"/>
      <c r="M676" s="446">
        <f>I676-K676</f>
        <v>0</v>
      </c>
      <c r="N676" s="1913">
        <f>IF(I676=0,0,(K676/I676)*100)</f>
        <v>0</v>
      </c>
      <c r="O676" s="1622"/>
      <c r="P676" s="215"/>
      <c r="Q676" s="215"/>
      <c r="R676" s="215"/>
      <c r="S676" s="215"/>
      <c r="T676" s="215"/>
      <c r="U676" s="215"/>
      <c r="V676" s="215"/>
      <c r="W676" s="215"/>
      <c r="X676" s="215"/>
      <c r="Y676" s="215"/>
      <c r="Z676" s="215"/>
      <c r="AA676" s="215"/>
      <c r="AB676" s="215"/>
      <c r="AC676" s="215"/>
    </row>
    <row r="677" spans="1:34" ht="15.5" x14ac:dyDescent="0.35">
      <c r="A677" s="454"/>
      <c r="B677" s="445"/>
      <c r="C677" s="350"/>
      <c r="D677" s="447" t="s">
        <v>337</v>
      </c>
      <c r="E677" s="350"/>
      <c r="F677" s="350"/>
      <c r="G677" s="350"/>
      <c r="H677" s="350"/>
      <c r="I677" s="1701">
        <f>SUM(I675:J676)</f>
        <v>0</v>
      </c>
      <c r="J677" s="1702"/>
      <c r="K677" s="1701">
        <f>SUM(K675:L676)</f>
        <v>0</v>
      </c>
      <c r="L677" s="1702"/>
      <c r="M677" s="448">
        <f>I677-K677</f>
        <v>0</v>
      </c>
      <c r="N677" s="1621">
        <f>IF(I677=0,0,(K677/I677)*100)</f>
        <v>0</v>
      </c>
      <c r="O677" s="1622"/>
      <c r="P677" s="215"/>
      <c r="Q677" s="215"/>
      <c r="R677" s="215"/>
      <c r="S677" s="215"/>
      <c r="T677" s="215"/>
      <c r="U677" s="215"/>
      <c r="V677" s="215"/>
      <c r="W677" s="215"/>
      <c r="X677" s="215"/>
      <c r="Y677" s="215"/>
      <c r="Z677" s="215"/>
      <c r="AA677" s="215"/>
      <c r="AB677" s="215"/>
      <c r="AC677" s="215"/>
    </row>
    <row r="678" spans="1:34" x14ac:dyDescent="0.3">
      <c r="A678" s="454"/>
      <c r="B678" s="445"/>
      <c r="C678" s="350"/>
      <c r="D678" s="447"/>
      <c r="E678" s="350"/>
      <c r="F678" s="350"/>
      <c r="G678" s="350"/>
      <c r="H678" s="350"/>
      <c r="I678" s="449"/>
      <c r="J678" s="450"/>
      <c r="K678" s="449"/>
      <c r="L678" s="450"/>
      <c r="M678" s="451"/>
      <c r="N678" s="452"/>
      <c r="O678" s="453"/>
      <c r="P678" s="215"/>
      <c r="Q678" s="215"/>
      <c r="R678" s="215"/>
      <c r="S678" s="215"/>
      <c r="T678" s="215"/>
      <c r="U678" s="215"/>
      <c r="V678" s="215"/>
      <c r="W678" s="215"/>
      <c r="X678" s="215"/>
      <c r="Y678" s="215"/>
      <c r="Z678" s="215"/>
      <c r="AA678" s="215"/>
      <c r="AB678" s="215"/>
      <c r="AC678" s="215"/>
    </row>
    <row r="679" spans="1:34" x14ac:dyDescent="0.3">
      <c r="A679" s="66"/>
      <c r="B679" s="175" t="s">
        <v>338</v>
      </c>
      <c r="C679" s="79"/>
      <c r="D679" s="79"/>
      <c r="E679" s="79"/>
      <c r="F679" s="79"/>
      <c r="G679" s="79"/>
      <c r="H679" s="79"/>
      <c r="I679" s="176"/>
      <c r="J679" s="79"/>
      <c r="K679" s="176"/>
      <c r="L679" s="79"/>
      <c r="M679" s="253"/>
      <c r="N679" s="79"/>
      <c r="O679" s="174"/>
      <c r="P679" s="215"/>
      <c r="Q679" s="215"/>
      <c r="R679" s="215"/>
      <c r="S679" s="215"/>
      <c r="T679" s="215"/>
      <c r="U679" s="215"/>
      <c r="V679" s="215"/>
      <c r="W679" s="215"/>
      <c r="X679" s="215"/>
      <c r="Y679" s="215"/>
      <c r="Z679" s="215"/>
      <c r="AA679" s="215"/>
      <c r="AB679" s="215"/>
      <c r="AC679" s="215"/>
    </row>
    <row r="680" spans="1:34" ht="15.5" x14ac:dyDescent="0.35">
      <c r="A680" s="66"/>
      <c r="B680" s="177"/>
      <c r="C680" s="1623" t="s">
        <v>79</v>
      </c>
      <c r="D680" s="1623"/>
      <c r="E680" s="1623"/>
      <c r="F680" s="1623"/>
      <c r="G680" s="1623"/>
      <c r="H680" s="1624"/>
      <c r="I680" s="1872">
        <f>G641</f>
        <v>15750000000</v>
      </c>
      <c r="J680" s="1678"/>
      <c r="K680" s="1872">
        <f>G623</f>
        <v>15750000000</v>
      </c>
      <c r="L680" s="1678"/>
      <c r="M680" s="254">
        <f t="shared" ref="M680:M686" si="82">I680-K680</f>
        <v>0</v>
      </c>
      <c r="N680" s="1680">
        <f>M680/K680*100</f>
        <v>0</v>
      </c>
      <c r="O680" s="1652"/>
      <c r="P680" s="215"/>
      <c r="Q680" s="215"/>
      <c r="R680" s="215"/>
      <c r="S680" s="215"/>
      <c r="T680" s="215"/>
      <c r="U680" s="215"/>
      <c r="V680" s="215"/>
      <c r="W680" s="215"/>
      <c r="X680" s="215"/>
      <c r="Y680" s="215"/>
      <c r="Z680" s="215"/>
      <c r="AA680" s="215"/>
      <c r="AB680" s="215"/>
      <c r="AC680" s="215"/>
    </row>
    <row r="681" spans="1:34" ht="15.5" x14ac:dyDescent="0.35">
      <c r="A681" s="66"/>
      <c r="B681" s="177"/>
      <c r="C681" s="1623" t="s">
        <v>80</v>
      </c>
      <c r="D681" s="1623"/>
      <c r="E681" s="1623"/>
      <c r="F681" s="1623"/>
      <c r="G681" s="1623"/>
      <c r="H681" s="1624"/>
      <c r="I681" s="1872">
        <f>I641</f>
        <v>5985434940</v>
      </c>
      <c r="J681" s="1678"/>
      <c r="K681" s="1872">
        <f>I623</f>
        <v>5055343940</v>
      </c>
      <c r="L681" s="1678"/>
      <c r="M681" s="254">
        <f t="shared" si="82"/>
        <v>930091000</v>
      </c>
      <c r="N681" s="1680">
        <f t="shared" ref="N681:N682" si="83">M681/K681*100</f>
        <v>18.398174506797258</v>
      </c>
      <c r="O681" s="1652"/>
      <c r="P681" s="215"/>
      <c r="Q681" s="215"/>
      <c r="R681" s="215"/>
      <c r="S681" s="215"/>
      <c r="T681" s="215"/>
      <c r="U681" s="215"/>
      <c r="V681" s="215"/>
      <c r="W681" s="215"/>
      <c r="X681" s="215"/>
      <c r="Y681" s="215"/>
      <c r="Z681" s="215"/>
      <c r="AA681" s="215"/>
      <c r="AB681" s="215"/>
      <c r="AC681" s="215"/>
    </row>
    <row r="682" spans="1:34" ht="15.5" x14ac:dyDescent="0.35">
      <c r="A682" s="66"/>
      <c r="B682" s="177"/>
      <c r="C682" s="1623" t="s">
        <v>81</v>
      </c>
      <c r="D682" s="1623"/>
      <c r="E682" s="1623"/>
      <c r="F682" s="1623"/>
      <c r="G682" s="1623"/>
      <c r="H682" s="1624"/>
      <c r="I682" s="1872">
        <f>M641</f>
        <v>6311976199</v>
      </c>
      <c r="J682" s="1678"/>
      <c r="K682" s="1872">
        <f>M623</f>
        <v>5775313149</v>
      </c>
      <c r="L682" s="1678"/>
      <c r="M682" s="254">
        <f t="shared" si="82"/>
        <v>536663050</v>
      </c>
      <c r="N682" s="1680">
        <f t="shared" si="83"/>
        <v>9.2923627888978384</v>
      </c>
      <c r="O682" s="1652"/>
      <c r="P682" s="215"/>
      <c r="Q682" s="215"/>
      <c r="R682" s="215"/>
      <c r="S682" s="215"/>
      <c r="T682" s="215"/>
      <c r="U682" s="215"/>
      <c r="V682" s="215"/>
      <c r="W682" s="215"/>
      <c r="X682" s="215"/>
      <c r="Y682" s="215"/>
      <c r="Z682" s="215"/>
      <c r="AA682" s="215"/>
      <c r="AB682" s="215"/>
      <c r="AC682" s="215"/>
    </row>
    <row r="683" spans="1:34" ht="15.5" x14ac:dyDescent="0.35">
      <c r="A683" s="66"/>
      <c r="B683" s="177"/>
      <c r="C683" s="1623" t="s">
        <v>339</v>
      </c>
      <c r="D683" s="1623"/>
      <c r="E683" s="1623"/>
      <c r="F683" s="1623"/>
      <c r="G683" s="1623"/>
      <c r="H683" s="1624"/>
      <c r="I683" s="1872">
        <f>S641+V641+K641</f>
        <v>29536650</v>
      </c>
      <c r="J683" s="1678"/>
      <c r="K683" s="1872">
        <f>K623+S623+V623</f>
        <v>29536650</v>
      </c>
      <c r="L683" s="1678"/>
      <c r="M683" s="254">
        <f t="shared" si="82"/>
        <v>0</v>
      </c>
      <c r="N683" s="154"/>
      <c r="O683" s="155"/>
      <c r="P683" s="215"/>
      <c r="Q683" s="215"/>
      <c r="R683" s="215"/>
      <c r="S683" s="215"/>
      <c r="T683" s="215"/>
      <c r="U683" s="215"/>
      <c r="V683" s="215"/>
      <c r="W683" s="215"/>
      <c r="X683" s="215"/>
      <c r="Y683" s="215"/>
      <c r="Z683" s="215"/>
      <c r="AA683" s="215"/>
      <c r="AB683" s="215"/>
      <c r="AC683" s="215"/>
    </row>
    <row r="684" spans="1:34" ht="15.5" x14ac:dyDescent="0.35">
      <c r="A684" s="66"/>
      <c r="B684" s="177"/>
      <c r="C684" s="1623" t="s">
        <v>82</v>
      </c>
      <c r="D684" s="1623"/>
      <c r="E684" s="1623"/>
      <c r="F684" s="1623"/>
      <c r="G684" s="1623"/>
      <c r="H684" s="1624"/>
      <c r="I684" s="1909">
        <f>P641</f>
        <v>339285000</v>
      </c>
      <c r="J684" s="1910"/>
      <c r="K684" s="1909">
        <f>P623</f>
        <v>335909500</v>
      </c>
      <c r="L684" s="1910"/>
      <c r="M684" s="254">
        <f t="shared" si="82"/>
        <v>3375500</v>
      </c>
      <c r="N684" s="1680">
        <f t="shared" ref="N684" si="84">IF(I684=0,0,(K684/I684)*100)</f>
        <v>99.005113694976203</v>
      </c>
      <c r="O684" s="1652"/>
      <c r="P684" s="215"/>
      <c r="Q684" s="215"/>
      <c r="R684" s="215"/>
      <c r="S684" s="215"/>
      <c r="T684" s="215"/>
      <c r="U684" s="215"/>
      <c r="V684" s="215"/>
      <c r="W684" s="215"/>
      <c r="X684" s="215"/>
      <c r="Y684" s="215"/>
      <c r="Z684" s="215"/>
      <c r="AA684" s="215"/>
      <c r="AB684" s="215"/>
      <c r="AC684" s="215"/>
    </row>
    <row r="685" spans="1:34" ht="15.5" x14ac:dyDescent="0.35">
      <c r="A685" s="66"/>
      <c r="B685" s="177"/>
      <c r="C685" s="1623" t="s">
        <v>340</v>
      </c>
      <c r="D685" s="1623"/>
      <c r="E685" s="1623"/>
      <c r="F685" s="1623"/>
      <c r="G685" s="1623"/>
      <c r="H685" s="1624"/>
      <c r="I685" s="1909">
        <f>Y641</f>
        <v>0</v>
      </c>
      <c r="J685" s="1910"/>
      <c r="K685" s="1909">
        <f>Y623</f>
        <v>0</v>
      </c>
      <c r="L685" s="1910"/>
      <c r="M685" s="254"/>
      <c r="N685" s="347"/>
      <c r="O685" s="348"/>
      <c r="P685" s="215"/>
      <c r="Q685" s="215"/>
      <c r="R685" s="215"/>
      <c r="S685" s="215"/>
      <c r="T685" s="215"/>
      <c r="U685" s="215"/>
      <c r="V685" s="215"/>
      <c r="W685" s="215"/>
      <c r="X685" s="215"/>
      <c r="Y685" s="215"/>
      <c r="Z685" s="215"/>
      <c r="AA685" s="215"/>
      <c r="AB685" s="215"/>
      <c r="AC685" s="215"/>
      <c r="AE685" s="345"/>
      <c r="AF685" s="345"/>
      <c r="AG685" s="345"/>
      <c r="AH685" s="345"/>
    </row>
    <row r="686" spans="1:34" ht="15.5" x14ac:dyDescent="0.35">
      <c r="A686" s="66"/>
      <c r="B686" s="177"/>
      <c r="C686" s="1623" t="s">
        <v>1744</v>
      </c>
      <c r="D686" s="1623"/>
      <c r="E686" s="1623"/>
      <c r="F686" s="1623"/>
      <c r="G686" s="1623"/>
      <c r="H686" s="1624"/>
      <c r="I686" s="1902">
        <v>-4656390209</v>
      </c>
      <c r="J686" s="1903"/>
      <c r="K686" s="1902">
        <v>-3757424451</v>
      </c>
      <c r="L686" s="1903"/>
      <c r="M686" s="254">
        <f t="shared" si="82"/>
        <v>-898965758</v>
      </c>
      <c r="N686" s="1680">
        <f>M686/K686</f>
        <v>0.23925052112777662</v>
      </c>
      <c r="O686" s="1652"/>
      <c r="P686" s="215"/>
      <c r="Q686" s="215"/>
      <c r="R686" s="215"/>
      <c r="S686" s="215"/>
      <c r="T686" s="215"/>
      <c r="U686" s="215"/>
      <c r="V686" s="215"/>
      <c r="W686" s="215"/>
      <c r="X686" s="215"/>
      <c r="Y686" s="215"/>
      <c r="Z686" s="215"/>
      <c r="AA686" s="215"/>
      <c r="AB686" s="215"/>
      <c r="AC686" s="215"/>
    </row>
    <row r="687" spans="1:34" ht="15.5" x14ac:dyDescent="0.35">
      <c r="A687" s="66"/>
      <c r="B687" s="177"/>
      <c r="C687" s="1632" t="s">
        <v>2001</v>
      </c>
      <c r="D687" s="1632"/>
      <c r="E687" s="1632"/>
      <c r="F687" s="1632"/>
      <c r="G687" s="1632"/>
      <c r="H687" s="1633"/>
      <c r="I687" s="1634"/>
      <c r="J687" s="1626"/>
      <c r="K687" s="1634"/>
      <c r="L687" s="1626"/>
      <c r="M687" s="254"/>
      <c r="N687" s="515"/>
      <c r="O687" s="514"/>
      <c r="P687" s="215"/>
      <c r="Q687" s="215"/>
      <c r="R687" s="215"/>
      <c r="S687" s="215"/>
      <c r="T687" s="215"/>
      <c r="U687" s="215"/>
      <c r="V687" s="215"/>
      <c r="W687" s="215"/>
      <c r="X687" s="215"/>
      <c r="Y687" s="215"/>
      <c r="Z687" s="215"/>
      <c r="AA687" s="215"/>
      <c r="AB687" s="215"/>
      <c r="AC687" s="215"/>
      <c r="AE687" s="516"/>
      <c r="AF687" s="516"/>
      <c r="AG687" s="516"/>
      <c r="AH687" s="516"/>
    </row>
    <row r="688" spans="1:34" ht="15.5" x14ac:dyDescent="0.35">
      <c r="A688" s="66"/>
      <c r="B688" s="177"/>
      <c r="C688" s="79"/>
      <c r="D688" s="182" t="s">
        <v>341</v>
      </c>
      <c r="E688" s="79"/>
      <c r="F688" s="79"/>
      <c r="G688" s="79"/>
      <c r="H688" s="79"/>
      <c r="I688" s="1677">
        <f>SUM(I680:J687)</f>
        <v>23759842580</v>
      </c>
      <c r="J688" s="1678"/>
      <c r="K688" s="1677">
        <f>SUM(K680:L687)</f>
        <v>23188678788</v>
      </c>
      <c r="L688" s="1678"/>
      <c r="M688" s="256">
        <f>I688-K688</f>
        <v>571163792</v>
      </c>
      <c r="N688" s="1871">
        <f>M688/K688*100</f>
        <v>2.4631148554076905</v>
      </c>
      <c r="O688" s="1652"/>
      <c r="P688" s="215"/>
      <c r="Q688" s="215"/>
      <c r="R688" s="215"/>
      <c r="S688" s="215"/>
      <c r="T688" s="215"/>
      <c r="U688" s="215"/>
      <c r="V688" s="215"/>
      <c r="W688" s="215"/>
      <c r="X688" s="215"/>
      <c r="Y688" s="215"/>
      <c r="Z688" s="215"/>
      <c r="AA688" s="215"/>
      <c r="AB688" s="215"/>
      <c r="AC688" s="215"/>
    </row>
    <row r="689" spans="1:29" x14ac:dyDescent="0.3">
      <c r="A689" s="66"/>
      <c r="B689" s="177"/>
      <c r="C689" s="79"/>
      <c r="D689" s="79"/>
      <c r="E689" s="79"/>
      <c r="F689" s="79"/>
      <c r="G689" s="79"/>
      <c r="H689" s="79"/>
      <c r="I689" s="1690"/>
      <c r="J689" s="1691"/>
      <c r="K689" s="1690"/>
      <c r="L689" s="1691"/>
      <c r="M689" s="184"/>
      <c r="N689" s="1914"/>
      <c r="O689" s="1915"/>
      <c r="P689" s="215"/>
      <c r="Q689" s="215"/>
      <c r="R689" s="215"/>
      <c r="S689" s="215"/>
      <c r="T689" s="215"/>
      <c r="U689" s="215"/>
      <c r="V689" s="215"/>
      <c r="W689" s="215"/>
      <c r="X689" s="215"/>
      <c r="Y689" s="215"/>
      <c r="Z689" s="215"/>
      <c r="AA689" s="215"/>
      <c r="AB689" s="215"/>
      <c r="AC689" s="215"/>
    </row>
    <row r="690" spans="1:29" x14ac:dyDescent="0.3">
      <c r="A690" s="66"/>
      <c r="B690" s="175" t="s">
        <v>930</v>
      </c>
      <c r="C690" s="79"/>
      <c r="D690" s="79"/>
      <c r="E690" s="79"/>
      <c r="F690" s="79"/>
      <c r="G690" s="79"/>
      <c r="H690" s="79"/>
      <c r="I690" s="1692"/>
      <c r="J690" s="1693"/>
      <c r="K690" s="1692"/>
      <c r="L690" s="1693"/>
      <c r="M690" s="253"/>
      <c r="N690" s="1884"/>
      <c r="O690" s="1885"/>
      <c r="P690" s="215"/>
      <c r="Q690" s="215"/>
      <c r="R690" s="215"/>
      <c r="S690" s="215"/>
      <c r="T690" s="215"/>
      <c r="U690" s="215"/>
      <c r="V690" s="215"/>
      <c r="W690" s="215"/>
      <c r="X690" s="215"/>
      <c r="Y690" s="215"/>
      <c r="Z690" s="215"/>
      <c r="AA690" s="215"/>
      <c r="AB690" s="215"/>
      <c r="AC690" s="215"/>
    </row>
    <row r="691" spans="1:29" ht="15.5" x14ac:dyDescent="0.35">
      <c r="A691" s="66"/>
      <c r="B691" s="177"/>
      <c r="C691" s="1623" t="s">
        <v>1739</v>
      </c>
      <c r="D691" s="1623"/>
      <c r="E691" s="1623"/>
      <c r="F691" s="1623"/>
      <c r="G691" s="1623"/>
      <c r="H691" s="1624"/>
      <c r="I691" s="1625"/>
      <c r="J691" s="1626"/>
      <c r="K691" s="1625"/>
      <c r="L691" s="1626"/>
      <c r="M691" s="254">
        <f t="shared" ref="M691:M699" si="85">I691-K691</f>
        <v>0</v>
      </c>
      <c r="N691" s="1680">
        <f t="shared" ref="N691:N700" si="86">IF(I691=0,0,(K691/I691)*100)</f>
        <v>0</v>
      </c>
      <c r="O691" s="1652"/>
      <c r="P691" s="215"/>
      <c r="Q691" s="215"/>
      <c r="R691" s="215"/>
      <c r="S691" s="215"/>
      <c r="T691" s="215"/>
      <c r="U691" s="215"/>
      <c r="V691" s="215"/>
      <c r="W691" s="215"/>
      <c r="X691" s="215"/>
      <c r="Y691" s="215"/>
      <c r="Z691" s="215"/>
      <c r="AA691" s="215"/>
      <c r="AB691" s="215"/>
      <c r="AC691" s="215"/>
    </row>
    <row r="692" spans="1:29" ht="15.5" x14ac:dyDescent="0.35">
      <c r="A692" s="66"/>
      <c r="B692" s="177"/>
      <c r="C692" s="1623" t="s">
        <v>343</v>
      </c>
      <c r="D692" s="1623"/>
      <c r="E692" s="1623"/>
      <c r="F692" s="1623"/>
      <c r="G692" s="1623"/>
      <c r="H692" s="1624"/>
      <c r="I692" s="1625"/>
      <c r="J692" s="1626"/>
      <c r="K692" s="1625"/>
      <c r="L692" s="1626"/>
      <c r="M692" s="254">
        <f t="shared" si="85"/>
        <v>0</v>
      </c>
      <c r="N692" s="1680">
        <f t="shared" si="86"/>
        <v>0</v>
      </c>
      <c r="O692" s="1652"/>
      <c r="P692" s="215"/>
      <c r="Q692" s="215"/>
      <c r="R692" s="215"/>
      <c r="S692" s="215"/>
      <c r="T692" s="215"/>
      <c r="U692" s="215"/>
      <c r="V692" s="215"/>
      <c r="W692" s="215"/>
      <c r="X692" s="215"/>
      <c r="Y692" s="215"/>
      <c r="Z692" s="215"/>
      <c r="AA692" s="215"/>
      <c r="AB692" s="215"/>
      <c r="AC692" s="215"/>
    </row>
    <row r="693" spans="1:29" ht="15.5" x14ac:dyDescent="0.35">
      <c r="A693" s="66"/>
      <c r="B693" s="177"/>
      <c r="C693" s="1623" t="s">
        <v>1740</v>
      </c>
      <c r="D693" s="1623"/>
      <c r="E693" s="1623"/>
      <c r="F693" s="1623"/>
      <c r="G693" s="1623"/>
      <c r="H693" s="1624"/>
      <c r="I693" s="1625"/>
      <c r="J693" s="1626"/>
      <c r="K693" s="1625"/>
      <c r="L693" s="1626"/>
      <c r="M693" s="254">
        <f t="shared" si="85"/>
        <v>0</v>
      </c>
      <c r="N693" s="1680">
        <f t="shared" si="86"/>
        <v>0</v>
      </c>
      <c r="O693" s="1652"/>
      <c r="P693" s="215"/>
      <c r="Q693" s="215"/>
      <c r="R693" s="215"/>
      <c r="S693" s="215"/>
      <c r="T693" s="215"/>
      <c r="U693" s="215"/>
      <c r="V693" s="215"/>
      <c r="W693" s="215"/>
      <c r="X693" s="215"/>
      <c r="Y693" s="215"/>
      <c r="Z693" s="215"/>
      <c r="AA693" s="215"/>
      <c r="AB693" s="215"/>
      <c r="AC693" s="215"/>
    </row>
    <row r="694" spans="1:29" ht="15.75" customHeight="1" x14ac:dyDescent="0.35">
      <c r="A694" s="66"/>
      <c r="B694" s="177"/>
      <c r="C694" s="79"/>
      <c r="D694" s="182" t="s">
        <v>931</v>
      </c>
      <c r="E694" s="79"/>
      <c r="F694" s="79"/>
      <c r="G694" s="79"/>
      <c r="H694" s="185"/>
      <c r="I694" s="1677">
        <f>SUM(I691:J693)</f>
        <v>0</v>
      </c>
      <c r="J694" s="1678"/>
      <c r="K694" s="1677">
        <f>SUM(K691:L693)</f>
        <v>0</v>
      </c>
      <c r="L694" s="1678"/>
      <c r="M694" s="256">
        <f t="shared" si="85"/>
        <v>0</v>
      </c>
      <c r="N694" s="1871">
        <f>IF(I694=0,0,(K694/I694)*100)</f>
        <v>0</v>
      </c>
      <c r="O694" s="1652"/>
      <c r="P694" s="215"/>
      <c r="Q694" s="215"/>
      <c r="R694" s="215"/>
      <c r="S694" s="215"/>
      <c r="T694" s="215"/>
      <c r="U694" s="215"/>
      <c r="V694" s="215"/>
      <c r="W694" s="215"/>
      <c r="X694" s="215"/>
      <c r="Y694" s="215"/>
      <c r="Z694" s="215"/>
      <c r="AA694" s="215"/>
      <c r="AB694" s="215"/>
      <c r="AC694" s="215"/>
    </row>
    <row r="695" spans="1:29" ht="15.5" x14ac:dyDescent="0.35">
      <c r="A695" s="66"/>
      <c r="B695" s="177"/>
      <c r="C695" s="79"/>
      <c r="D695" s="79"/>
      <c r="E695" s="79"/>
      <c r="F695" s="79"/>
      <c r="G695" s="79"/>
      <c r="H695" s="185"/>
      <c r="I695" s="151"/>
      <c r="J695" s="186"/>
      <c r="K695" s="151"/>
      <c r="L695" s="186"/>
      <c r="M695" s="254"/>
      <c r="N695" s="154"/>
      <c r="O695" s="187"/>
      <c r="P695" s="215"/>
      <c r="Q695" s="215"/>
      <c r="R695" s="215"/>
      <c r="S695" s="215"/>
      <c r="T695" s="215"/>
      <c r="U695" s="215"/>
      <c r="V695" s="215"/>
      <c r="W695" s="215"/>
      <c r="X695" s="215"/>
      <c r="Y695" s="215"/>
      <c r="Z695" s="215"/>
      <c r="AA695" s="215"/>
      <c r="AB695" s="215"/>
      <c r="AC695" s="215"/>
    </row>
    <row r="696" spans="1:29" ht="15.5" x14ac:dyDescent="0.35">
      <c r="A696" s="66"/>
      <c r="B696" s="175" t="s">
        <v>342</v>
      </c>
      <c r="C696" s="79"/>
      <c r="D696" s="79"/>
      <c r="E696" s="79"/>
      <c r="F696" s="79"/>
      <c r="G696" s="79"/>
      <c r="H696" s="185"/>
      <c r="I696" s="151"/>
      <c r="J696" s="186"/>
      <c r="K696" s="151"/>
      <c r="L696" s="186"/>
      <c r="M696" s="254"/>
      <c r="N696" s="154"/>
      <c r="O696" s="187"/>
      <c r="P696" s="215"/>
      <c r="Q696" s="215"/>
      <c r="R696" s="215"/>
      <c r="S696" s="215"/>
      <c r="T696" s="215"/>
      <c r="U696" s="215"/>
      <c r="V696" s="215"/>
      <c r="W696" s="215"/>
      <c r="X696" s="215"/>
      <c r="Y696" s="215"/>
      <c r="Z696" s="215"/>
      <c r="AA696" s="215"/>
      <c r="AB696" s="215"/>
      <c r="AC696" s="215"/>
    </row>
    <row r="697" spans="1:29" ht="15.5" x14ac:dyDescent="0.35">
      <c r="A697" s="66"/>
      <c r="B697" s="177"/>
      <c r="C697" s="1623" t="s">
        <v>84</v>
      </c>
      <c r="D697" s="1623"/>
      <c r="E697" s="1623"/>
      <c r="F697" s="1623"/>
      <c r="G697" s="1623"/>
      <c r="H697" s="1624"/>
      <c r="I697" s="1625"/>
      <c r="J697" s="1626"/>
      <c r="K697" s="1625"/>
      <c r="L697" s="1626"/>
      <c r="M697" s="254">
        <f t="shared" si="85"/>
        <v>0</v>
      </c>
      <c r="N697" s="1680">
        <f t="shared" si="86"/>
        <v>0</v>
      </c>
      <c r="O697" s="1652"/>
      <c r="P697" s="215"/>
      <c r="Q697" s="215"/>
      <c r="R697" s="215"/>
      <c r="S697" s="215"/>
      <c r="T697" s="215"/>
      <c r="U697" s="215"/>
      <c r="V697" s="215"/>
      <c r="W697" s="215"/>
      <c r="X697" s="215"/>
      <c r="Y697" s="215"/>
      <c r="Z697" s="215"/>
      <c r="AA697" s="215"/>
      <c r="AB697" s="215"/>
      <c r="AC697" s="215"/>
    </row>
    <row r="698" spans="1:29" ht="15.5" x14ac:dyDescent="0.35">
      <c r="A698" s="66"/>
      <c r="B698" s="177"/>
      <c r="C698" s="1623" t="s">
        <v>141</v>
      </c>
      <c r="D698" s="1623"/>
      <c r="E698" s="1623"/>
      <c r="F698" s="1623"/>
      <c r="G698" s="1623"/>
      <c r="H698" s="1624"/>
      <c r="I698" s="1625">
        <v>79907000</v>
      </c>
      <c r="J698" s="1908"/>
      <c r="K698" s="1625">
        <v>79907000</v>
      </c>
      <c r="L698" s="1908"/>
      <c r="M698" s="254">
        <f>I698-K698</f>
        <v>0</v>
      </c>
      <c r="N698" s="1680">
        <f>IF(I698=0,0,(K698/I698)*100)</f>
        <v>100</v>
      </c>
      <c r="O698" s="1652"/>
      <c r="P698" s="215"/>
      <c r="Q698" s="215"/>
      <c r="R698" s="215"/>
      <c r="S698" s="215"/>
      <c r="T698" s="215"/>
      <c r="U698" s="215"/>
      <c r="V698" s="215"/>
      <c r="W698" s="215"/>
      <c r="X698" s="215"/>
      <c r="Y698" s="215"/>
      <c r="Z698" s="215"/>
      <c r="AA698" s="215"/>
      <c r="AB698" s="215"/>
      <c r="AC698" s="215"/>
    </row>
    <row r="699" spans="1:29" ht="15.5" x14ac:dyDescent="0.35">
      <c r="A699" s="66"/>
      <c r="B699" s="177"/>
      <c r="C699" s="1623" t="s">
        <v>1752</v>
      </c>
      <c r="D699" s="1623"/>
      <c r="E699" s="1623"/>
      <c r="F699" s="1623"/>
      <c r="G699" s="1623"/>
      <c r="H699" s="1624"/>
      <c r="I699" s="1625">
        <v>-79907000</v>
      </c>
      <c r="J699" s="1626"/>
      <c r="K699" s="1625">
        <v>-79907000</v>
      </c>
      <c r="L699" s="1626"/>
      <c r="M699" s="254">
        <f t="shared" si="85"/>
        <v>0</v>
      </c>
      <c r="N699" s="1680">
        <f t="shared" si="86"/>
        <v>100</v>
      </c>
      <c r="O699" s="1652"/>
      <c r="P699" s="215"/>
      <c r="Q699" s="215"/>
      <c r="R699" s="215"/>
      <c r="S699" s="215"/>
      <c r="T699" s="215"/>
      <c r="U699" s="215"/>
      <c r="V699" s="215"/>
      <c r="W699" s="215"/>
      <c r="X699" s="215"/>
      <c r="Y699" s="215"/>
      <c r="Z699" s="215"/>
      <c r="AA699" s="215"/>
      <c r="AB699" s="215"/>
      <c r="AC699" s="215"/>
    </row>
    <row r="700" spans="1:29" ht="15.5" x14ac:dyDescent="0.35">
      <c r="A700" s="66"/>
      <c r="B700" s="177"/>
      <c r="C700" s="79"/>
      <c r="D700" s="182" t="s">
        <v>344</v>
      </c>
      <c r="E700" s="79"/>
      <c r="F700" s="79"/>
      <c r="G700" s="79"/>
      <c r="H700" s="79"/>
      <c r="I700" s="1677">
        <f>SUM(I697:J699)</f>
        <v>0</v>
      </c>
      <c r="J700" s="1678"/>
      <c r="K700" s="1677">
        <f>SUM(K697:L699)</f>
        <v>0</v>
      </c>
      <c r="L700" s="1678"/>
      <c r="M700" s="255">
        <f>I700-K700</f>
        <v>0</v>
      </c>
      <c r="N700" s="1871">
        <f t="shared" si="86"/>
        <v>0</v>
      </c>
      <c r="O700" s="1652"/>
      <c r="P700" s="215"/>
      <c r="Q700" s="215"/>
      <c r="R700" s="215"/>
      <c r="S700" s="215"/>
      <c r="T700" s="215"/>
      <c r="U700" s="215"/>
      <c r="V700" s="215"/>
      <c r="W700" s="215"/>
      <c r="X700" s="215"/>
      <c r="Y700" s="215"/>
      <c r="Z700" s="215"/>
      <c r="AA700" s="215"/>
      <c r="AB700" s="215"/>
      <c r="AC700" s="215"/>
    </row>
    <row r="701" spans="1:29" ht="15.5" x14ac:dyDescent="0.35">
      <c r="A701" s="66"/>
      <c r="B701" s="177"/>
      <c r="C701" s="79"/>
      <c r="D701" s="79"/>
      <c r="E701" s="188" t="s">
        <v>86</v>
      </c>
      <c r="F701" s="79"/>
      <c r="G701" s="79"/>
      <c r="H701" s="79"/>
      <c r="I701" s="1886">
        <f>I672+I677+I688+I694+I700</f>
        <v>23766101180</v>
      </c>
      <c r="J701" s="1678"/>
      <c r="K701" s="1886">
        <f>K672+K677+K688+K694+K700</f>
        <v>23189043788</v>
      </c>
      <c r="L701" s="1678"/>
      <c r="M701" s="254">
        <f>I701-K701</f>
        <v>577057392</v>
      </c>
      <c r="N701" s="1680">
        <f>M701/K701*100</f>
        <v>2.4884915362427278</v>
      </c>
      <c r="O701" s="1652"/>
      <c r="P701" s="215"/>
      <c r="Q701" s="215"/>
      <c r="R701" s="215"/>
      <c r="S701" s="215"/>
      <c r="T701" s="215"/>
      <c r="U701" s="215"/>
      <c r="V701" s="215"/>
      <c r="W701" s="215"/>
      <c r="X701" s="215"/>
      <c r="Y701" s="215"/>
      <c r="Z701" s="215"/>
      <c r="AA701" s="215"/>
      <c r="AB701" s="215"/>
      <c r="AC701" s="215"/>
    </row>
    <row r="702" spans="1:29" ht="15.5" x14ac:dyDescent="0.35">
      <c r="A702" s="66"/>
      <c r="B702" s="57" t="s">
        <v>86</v>
      </c>
      <c r="C702" s="58"/>
      <c r="D702" s="58"/>
      <c r="E702" s="58"/>
      <c r="F702" s="58"/>
      <c r="G702" s="58"/>
      <c r="H702" s="58"/>
      <c r="I702" s="1873">
        <f>I701</f>
        <v>23766101180</v>
      </c>
      <c r="J702" s="1678"/>
      <c r="K702" s="1873">
        <f>K701</f>
        <v>23189043788</v>
      </c>
      <c r="L702" s="1678"/>
      <c r="M702" s="257">
        <f>I702-K702</f>
        <v>577057392</v>
      </c>
      <c r="N702" s="1680">
        <f>M702/K702*100</f>
        <v>2.4884915362427278</v>
      </c>
      <c r="O702" s="1652"/>
      <c r="P702" s="215"/>
      <c r="Q702" s="215"/>
      <c r="R702" s="215"/>
      <c r="S702" s="215"/>
      <c r="T702" s="215"/>
      <c r="U702" s="215"/>
      <c r="V702" s="215"/>
      <c r="W702" s="215"/>
      <c r="X702" s="215"/>
      <c r="Y702" s="215"/>
      <c r="Z702" s="215"/>
      <c r="AA702" s="215"/>
      <c r="AB702" s="215"/>
      <c r="AC702" s="215"/>
    </row>
    <row r="703" spans="1:29" x14ac:dyDescent="0.3">
      <c r="A703" s="66"/>
      <c r="B703" s="177"/>
      <c r="C703" s="79"/>
      <c r="D703" s="79"/>
      <c r="E703" s="79"/>
      <c r="F703" s="79"/>
      <c r="G703" s="79"/>
      <c r="H703" s="79"/>
      <c r="I703" s="176"/>
      <c r="J703" s="79"/>
      <c r="K703" s="176"/>
      <c r="L703" s="79"/>
      <c r="M703" s="253"/>
      <c r="N703" s="79"/>
      <c r="O703" s="174"/>
      <c r="P703" s="215"/>
      <c r="Q703" s="215"/>
      <c r="R703" s="215"/>
      <c r="S703" s="215"/>
      <c r="T703" s="215"/>
      <c r="U703" s="215"/>
      <c r="V703" s="215"/>
      <c r="W703" s="215"/>
      <c r="X703" s="215"/>
      <c r="Y703" s="215"/>
      <c r="Z703" s="215"/>
      <c r="AA703" s="215"/>
      <c r="AB703" s="215"/>
      <c r="AC703" s="215"/>
    </row>
    <row r="704" spans="1:29" x14ac:dyDescent="0.3">
      <c r="A704" s="66"/>
      <c r="B704" s="59" t="s">
        <v>87</v>
      </c>
      <c r="C704" s="60"/>
      <c r="D704" s="60"/>
      <c r="E704" s="60"/>
      <c r="F704" s="60"/>
      <c r="G704" s="60"/>
      <c r="H704" s="60"/>
      <c r="I704" s="176"/>
      <c r="J704" s="79"/>
      <c r="K704" s="176"/>
      <c r="L704" s="79"/>
      <c r="M704" s="253"/>
      <c r="N704" s="79"/>
      <c r="O704" s="174"/>
      <c r="P704" s="215"/>
      <c r="Q704" s="215"/>
      <c r="R704" s="215"/>
      <c r="S704" s="215"/>
      <c r="T704" s="215"/>
      <c r="U704" s="215"/>
      <c r="V704" s="215"/>
      <c r="W704" s="215"/>
      <c r="X704" s="215"/>
      <c r="Y704" s="215"/>
      <c r="Z704" s="215"/>
      <c r="AA704" s="215"/>
      <c r="AB704" s="215"/>
      <c r="AC704" s="215"/>
    </row>
    <row r="705" spans="1:34" x14ac:dyDescent="0.3">
      <c r="A705" s="66"/>
      <c r="B705" s="175" t="s">
        <v>345</v>
      </c>
      <c r="C705" s="79"/>
      <c r="D705" s="79"/>
      <c r="E705" s="79"/>
      <c r="F705" s="79"/>
      <c r="G705" s="79"/>
      <c r="H705" s="79"/>
      <c r="I705" s="176"/>
      <c r="J705" s="79"/>
      <c r="K705" s="176"/>
      <c r="L705" s="79"/>
      <c r="M705" s="253"/>
      <c r="N705" s="79"/>
      <c r="O705" s="174"/>
      <c r="P705" s="215"/>
      <c r="Q705" s="215"/>
      <c r="R705" s="215"/>
      <c r="S705" s="215"/>
      <c r="T705" s="215"/>
      <c r="U705" s="215"/>
      <c r="V705" s="215"/>
      <c r="W705" s="215"/>
      <c r="X705" s="215"/>
      <c r="Y705" s="215"/>
      <c r="Z705" s="215"/>
      <c r="AA705" s="215"/>
      <c r="AB705" s="215"/>
      <c r="AC705" s="215"/>
    </row>
    <row r="706" spans="1:34" ht="15.5" x14ac:dyDescent="0.35">
      <c r="A706" s="66"/>
      <c r="B706" s="175"/>
      <c r="C706" s="346" t="s">
        <v>88</v>
      </c>
      <c r="D706" s="346"/>
      <c r="E706" s="346"/>
      <c r="F706" s="346"/>
      <c r="G706" s="346"/>
      <c r="H706" s="346"/>
      <c r="I706" s="1872">
        <f>I651</f>
        <v>0</v>
      </c>
      <c r="J706" s="1678"/>
      <c r="K706" s="1872">
        <f>K651</f>
        <v>0</v>
      </c>
      <c r="L706" s="1678"/>
      <c r="M706" s="254">
        <f>I706-K706</f>
        <v>0</v>
      </c>
      <c r="N706" s="1680">
        <f>IF(I706=0,0,(K706/I706)*100)</f>
        <v>0</v>
      </c>
      <c r="O706" s="1652"/>
      <c r="P706" s="215"/>
      <c r="Q706" s="215"/>
      <c r="R706" s="215"/>
      <c r="S706" s="215"/>
      <c r="T706" s="215"/>
      <c r="U706" s="215"/>
      <c r="V706" s="215"/>
      <c r="W706" s="215"/>
      <c r="X706" s="215"/>
      <c r="Y706" s="215"/>
      <c r="Z706" s="215"/>
      <c r="AA706" s="215"/>
      <c r="AB706" s="215"/>
      <c r="AC706" s="215"/>
      <c r="AE706" s="345"/>
      <c r="AF706" s="345"/>
      <c r="AG706" s="345"/>
      <c r="AH706" s="345"/>
    </row>
    <row r="707" spans="1:34" ht="15.5" x14ac:dyDescent="0.35">
      <c r="A707" s="66"/>
      <c r="B707" s="177"/>
      <c r="C707" s="79" t="s">
        <v>346</v>
      </c>
      <c r="D707" s="79"/>
      <c r="E707" s="79"/>
      <c r="F707" s="79"/>
      <c r="G707" s="79"/>
      <c r="H707" s="79"/>
      <c r="I707" s="1634"/>
      <c r="J707" s="1626"/>
      <c r="K707" s="1634"/>
      <c r="L707" s="1626"/>
      <c r="M707" s="254">
        <f>I707-K707</f>
        <v>0</v>
      </c>
      <c r="N707" s="1680">
        <f>IF(I707=0,0,(K707/I707)*100)</f>
        <v>0</v>
      </c>
      <c r="O707" s="1652"/>
      <c r="P707" s="215"/>
      <c r="Q707" s="215"/>
      <c r="R707" s="215"/>
      <c r="S707" s="215"/>
      <c r="T707" s="215"/>
      <c r="U707" s="215"/>
      <c r="V707" s="215"/>
      <c r="W707" s="215"/>
      <c r="X707" s="215"/>
      <c r="Y707" s="215"/>
      <c r="Z707" s="215"/>
      <c r="AA707" s="215"/>
      <c r="AB707" s="215"/>
      <c r="AC707" s="215"/>
    </row>
    <row r="708" spans="1:34" ht="15.5" x14ac:dyDescent="0.35">
      <c r="A708" s="66"/>
      <c r="B708" s="177"/>
      <c r="C708" s="346" t="s">
        <v>347</v>
      </c>
      <c r="D708" s="79"/>
      <c r="E708" s="79"/>
      <c r="F708" s="79"/>
      <c r="G708" s="79"/>
      <c r="H708" s="79"/>
      <c r="I708" s="1634"/>
      <c r="J708" s="1626"/>
      <c r="K708" s="1634"/>
      <c r="L708" s="1626"/>
      <c r="M708" s="254">
        <f>I708-K708</f>
        <v>0</v>
      </c>
      <c r="N708" s="154"/>
      <c r="O708" s="155"/>
      <c r="P708" s="215"/>
      <c r="Q708" s="215"/>
      <c r="R708" s="215"/>
      <c r="S708" s="215"/>
      <c r="T708" s="215"/>
      <c r="U708" s="215"/>
      <c r="V708" s="215"/>
      <c r="W708" s="215"/>
      <c r="X708" s="215"/>
      <c r="Y708" s="215"/>
      <c r="Z708" s="215"/>
      <c r="AA708" s="215"/>
      <c r="AB708" s="215"/>
      <c r="AC708" s="215"/>
    </row>
    <row r="709" spans="1:34" ht="15.5" x14ac:dyDescent="0.35">
      <c r="A709" s="66"/>
      <c r="B709" s="177"/>
      <c r="C709" s="663" t="s">
        <v>1908</v>
      </c>
      <c r="D709" s="663"/>
      <c r="E709" s="663"/>
      <c r="F709" s="663"/>
      <c r="G709" s="663"/>
      <c r="H709" s="663"/>
      <c r="I709" s="1634"/>
      <c r="J709" s="1626"/>
      <c r="K709" s="1634"/>
      <c r="L709" s="1626"/>
      <c r="M709" s="254"/>
      <c r="N709" s="662"/>
      <c r="O709" s="155"/>
      <c r="P709" s="215"/>
      <c r="Q709" s="215"/>
      <c r="R709" s="215"/>
      <c r="S709" s="215"/>
      <c r="T709" s="215"/>
      <c r="U709" s="215"/>
      <c r="V709" s="215"/>
      <c r="W709" s="215"/>
      <c r="X709" s="215"/>
      <c r="Y709" s="215"/>
      <c r="Z709" s="215"/>
      <c r="AA709" s="215"/>
      <c r="AB709" s="215"/>
      <c r="AC709" s="215"/>
      <c r="AE709" s="661"/>
      <c r="AF709" s="661"/>
      <c r="AG709" s="661"/>
      <c r="AH709" s="661"/>
    </row>
    <row r="710" spans="1:34" ht="15.5" x14ac:dyDescent="0.35">
      <c r="A710" s="66"/>
      <c r="B710" s="177"/>
      <c r="C710" s="663" t="s">
        <v>348</v>
      </c>
      <c r="D710" s="663"/>
      <c r="E710" s="663"/>
      <c r="F710" s="663"/>
      <c r="G710" s="663"/>
      <c r="H710" s="663"/>
      <c r="I710" s="1634"/>
      <c r="J710" s="1626"/>
      <c r="K710" s="1634"/>
      <c r="L710" s="1626"/>
      <c r="M710" s="254"/>
      <c r="N710" s="662"/>
      <c r="O710" s="155"/>
      <c r="P710" s="215"/>
      <c r="Q710" s="215"/>
      <c r="R710" s="215"/>
      <c r="S710" s="215"/>
      <c r="T710" s="215"/>
      <c r="U710" s="215"/>
      <c r="V710" s="215"/>
      <c r="W710" s="215"/>
      <c r="X710" s="215"/>
      <c r="Y710" s="215"/>
      <c r="Z710" s="215"/>
      <c r="AA710" s="215"/>
      <c r="AB710" s="215"/>
      <c r="AC710" s="215"/>
      <c r="AE710" s="661"/>
      <c r="AF710" s="661"/>
      <c r="AG710" s="661"/>
      <c r="AH710" s="661"/>
    </row>
    <row r="711" spans="1:34" ht="15.5" x14ac:dyDescent="0.35">
      <c r="A711" s="66"/>
      <c r="B711" s="177"/>
      <c r="C711" s="79" t="s">
        <v>1909</v>
      </c>
      <c r="D711" s="79"/>
      <c r="E711" s="79"/>
      <c r="F711" s="79"/>
      <c r="G711" s="79"/>
      <c r="H711" s="79"/>
      <c r="I711" s="1634"/>
      <c r="J711" s="1626"/>
      <c r="K711" s="1634"/>
      <c r="L711" s="1626"/>
      <c r="M711" s="254">
        <f>I711-K711</f>
        <v>0</v>
      </c>
      <c r="N711" s="1680">
        <f>IF(I711=0,0,(K711/I711)*100)</f>
        <v>0</v>
      </c>
      <c r="O711" s="1652"/>
      <c r="P711" s="215"/>
      <c r="Q711" s="215"/>
      <c r="R711" s="215"/>
      <c r="S711" s="215"/>
      <c r="T711" s="215"/>
      <c r="U711" s="215"/>
      <c r="V711" s="215"/>
      <c r="W711" s="215"/>
      <c r="X711" s="215"/>
      <c r="Y711" s="215"/>
      <c r="Z711" s="215"/>
      <c r="AA711" s="215"/>
      <c r="AB711" s="215"/>
      <c r="AC711" s="215"/>
    </row>
    <row r="712" spans="1:34" ht="15.5" x14ac:dyDescent="0.35">
      <c r="A712" s="66"/>
      <c r="B712" s="177"/>
      <c r="C712" s="79"/>
      <c r="D712" s="79"/>
      <c r="E712" s="79"/>
      <c r="F712" s="79"/>
      <c r="G712" s="79"/>
      <c r="H712" s="79"/>
      <c r="I712" s="1872"/>
      <c r="J712" s="1678"/>
      <c r="K712" s="1872"/>
      <c r="L712" s="1678"/>
      <c r="M712" s="254"/>
      <c r="N712" s="1680"/>
      <c r="O712" s="1652"/>
      <c r="P712" s="215"/>
      <c r="Q712" s="215"/>
      <c r="R712" s="215"/>
      <c r="S712" s="215"/>
      <c r="T712" s="215"/>
      <c r="U712" s="215"/>
      <c r="V712" s="215"/>
      <c r="W712" s="215"/>
      <c r="X712" s="215"/>
      <c r="Y712" s="215"/>
      <c r="Z712" s="215"/>
      <c r="AA712" s="215"/>
      <c r="AB712" s="215"/>
      <c r="AC712" s="215"/>
    </row>
    <row r="713" spans="1:34" ht="15.5" x14ac:dyDescent="0.35">
      <c r="A713" s="66"/>
      <c r="B713" s="177"/>
      <c r="C713" s="79"/>
      <c r="D713" s="182" t="s">
        <v>349</v>
      </c>
      <c r="E713" s="79"/>
      <c r="F713" s="79"/>
      <c r="G713" s="79"/>
      <c r="H713" s="79"/>
      <c r="I713" s="1677">
        <f>SUM(I706:J712)</f>
        <v>0</v>
      </c>
      <c r="J713" s="1678"/>
      <c r="K713" s="1677">
        <f>SUM(K706:L712)</f>
        <v>0</v>
      </c>
      <c r="L713" s="1678"/>
      <c r="M713" s="255">
        <f>I713-K713</f>
        <v>0</v>
      </c>
      <c r="N713" s="1871">
        <f>IF(I713=0,0,(K713/I713)*100)</f>
        <v>0</v>
      </c>
      <c r="O713" s="1652"/>
      <c r="P713" s="215"/>
      <c r="Q713" s="215"/>
      <c r="R713" s="215"/>
      <c r="S713" s="215"/>
      <c r="T713" s="215"/>
      <c r="U713" s="215"/>
      <c r="V713" s="215"/>
      <c r="W713" s="215"/>
      <c r="X713" s="215"/>
      <c r="Y713" s="215"/>
      <c r="Z713" s="215"/>
      <c r="AA713" s="215"/>
      <c r="AB713" s="215"/>
      <c r="AC713" s="215"/>
    </row>
    <row r="714" spans="1:34" ht="15.5" x14ac:dyDescent="0.35">
      <c r="A714" s="66"/>
      <c r="B714" s="177"/>
      <c r="C714" s="79"/>
      <c r="D714" s="79"/>
      <c r="E714" s="188" t="s">
        <v>90</v>
      </c>
      <c r="F714" s="79"/>
      <c r="G714" s="79"/>
      <c r="H714" s="79"/>
      <c r="I714" s="1854">
        <f>I713</f>
        <v>0</v>
      </c>
      <c r="J714" s="1678"/>
      <c r="K714" s="1854">
        <f>K713</f>
        <v>0</v>
      </c>
      <c r="L714" s="1678"/>
      <c r="M714" s="254">
        <f>I714-K714</f>
        <v>0</v>
      </c>
      <c r="N714" s="1680">
        <f>IF(I714=0,0,(K714/I714)*100)</f>
        <v>0</v>
      </c>
      <c r="O714" s="1652"/>
      <c r="P714" s="215"/>
      <c r="Q714" s="215"/>
      <c r="R714" s="215"/>
      <c r="S714" s="215"/>
      <c r="T714" s="215"/>
      <c r="U714" s="215"/>
      <c r="V714" s="215"/>
      <c r="W714" s="215"/>
      <c r="X714" s="215"/>
      <c r="Y714" s="215"/>
      <c r="Z714" s="215"/>
      <c r="AA714" s="215"/>
      <c r="AB714" s="215"/>
      <c r="AC714" s="215"/>
    </row>
    <row r="715" spans="1:34" x14ac:dyDescent="0.3">
      <c r="A715" s="66"/>
      <c r="B715" s="177"/>
      <c r="C715" s="79"/>
      <c r="D715" s="79"/>
      <c r="E715" s="79"/>
      <c r="F715" s="79"/>
      <c r="G715" s="79"/>
      <c r="H715" s="79"/>
      <c r="I715" s="176"/>
      <c r="J715" s="79"/>
      <c r="K715" s="176"/>
      <c r="L715" s="79"/>
      <c r="M715" s="253"/>
      <c r="N715" s="79"/>
      <c r="O715" s="174"/>
      <c r="P715" s="215"/>
      <c r="Q715" s="215"/>
      <c r="R715" s="215"/>
      <c r="S715" s="215"/>
      <c r="T715" s="215"/>
      <c r="U715" s="215"/>
      <c r="V715" s="215"/>
      <c r="W715" s="215"/>
      <c r="X715" s="215"/>
      <c r="Y715" s="215"/>
      <c r="Z715" s="215"/>
      <c r="AA715" s="215"/>
      <c r="AB715" s="215"/>
      <c r="AC715" s="215"/>
    </row>
    <row r="716" spans="1:34" x14ac:dyDescent="0.3">
      <c r="A716" s="66"/>
      <c r="B716" s="61" t="s">
        <v>123</v>
      </c>
      <c r="C716" s="62"/>
      <c r="D716" s="62"/>
      <c r="E716" s="62"/>
      <c r="F716" s="62"/>
      <c r="G716" s="62"/>
      <c r="H716" s="62"/>
      <c r="I716" s="176"/>
      <c r="J716" s="79"/>
      <c r="K716" s="176"/>
      <c r="L716" s="79"/>
      <c r="M716" s="253"/>
      <c r="N716" s="79"/>
      <c r="O716" s="174"/>
      <c r="P716" s="215"/>
      <c r="Q716" s="215"/>
      <c r="R716" s="215"/>
      <c r="S716" s="215"/>
      <c r="T716" s="215"/>
      <c r="U716" s="215"/>
      <c r="V716" s="215"/>
      <c r="W716" s="215"/>
      <c r="X716" s="215"/>
      <c r="Y716" s="215"/>
      <c r="Z716" s="215"/>
      <c r="AA716" s="215"/>
      <c r="AB716" s="215"/>
      <c r="AC716" s="215"/>
    </row>
    <row r="717" spans="1:34" ht="15.5" x14ac:dyDescent="0.35">
      <c r="A717" s="66"/>
      <c r="B717" s="175"/>
      <c r="C717" s="430" t="s">
        <v>123</v>
      </c>
      <c r="D717" s="79"/>
      <c r="E717" s="79"/>
      <c r="F717" s="79"/>
      <c r="G717" s="79"/>
      <c r="H717" s="79"/>
      <c r="I717" s="1634">
        <v>23766101180</v>
      </c>
      <c r="J717" s="1626"/>
      <c r="K717" s="1634">
        <v>23189043788</v>
      </c>
      <c r="L717" s="1626"/>
      <c r="M717" s="1444">
        <f>I717-K717</f>
        <v>577057392</v>
      </c>
      <c r="N717" s="79"/>
      <c r="O717" s="174">
        <f>M717/K717*100</f>
        <v>2.4884915362427278</v>
      </c>
      <c r="P717" s="215"/>
      <c r="Q717" s="215"/>
      <c r="R717" s="215"/>
      <c r="S717" s="215"/>
      <c r="T717" s="215"/>
      <c r="U717" s="215"/>
      <c r="V717" s="215"/>
      <c r="W717" s="215"/>
      <c r="X717" s="215"/>
      <c r="Y717" s="215"/>
      <c r="Z717" s="215"/>
      <c r="AA717" s="215"/>
      <c r="AB717" s="215"/>
      <c r="AC717" s="215"/>
    </row>
    <row r="718" spans="1:34" ht="15.5" x14ac:dyDescent="0.35">
      <c r="A718" s="66"/>
      <c r="B718" s="177"/>
      <c r="C718" s="79"/>
      <c r="D718" s="79"/>
      <c r="E718" s="188" t="s">
        <v>91</v>
      </c>
      <c r="F718" s="79"/>
      <c r="G718" s="79"/>
      <c r="H718" s="79"/>
      <c r="I718" s="1854">
        <f>SUM(I717)</f>
        <v>23766101180</v>
      </c>
      <c r="J718" s="1678"/>
      <c r="K718" s="1854">
        <f>SUM(K717)</f>
        <v>23189043788</v>
      </c>
      <c r="L718" s="1678"/>
      <c r="M718" s="254">
        <f>I718-K718</f>
        <v>577057392</v>
      </c>
      <c r="N718" s="1680">
        <f>M718/K718*100</f>
        <v>2.4884915362427278</v>
      </c>
      <c r="O718" s="1652"/>
      <c r="P718" s="215"/>
      <c r="Q718" s="215"/>
      <c r="R718" s="215"/>
      <c r="S718" s="215"/>
      <c r="T718" s="215"/>
      <c r="U718" s="215"/>
      <c r="V718" s="215"/>
      <c r="W718" s="215"/>
      <c r="X718" s="215"/>
      <c r="Y718" s="215"/>
      <c r="Z718" s="215"/>
      <c r="AA718" s="215"/>
      <c r="AB718" s="215"/>
      <c r="AC718" s="215"/>
    </row>
    <row r="719" spans="1:34" ht="16" thickBot="1" x14ac:dyDescent="0.4">
      <c r="A719" s="66"/>
      <c r="B719" s="63" t="s">
        <v>92</v>
      </c>
      <c r="C719" s="64"/>
      <c r="D719" s="64"/>
      <c r="E719" s="64"/>
      <c r="F719" s="64"/>
      <c r="G719" s="64"/>
      <c r="H719" s="64"/>
      <c r="I719" s="1862">
        <f>I714+I718</f>
        <v>23766101180</v>
      </c>
      <c r="J719" s="1676"/>
      <c r="K719" s="1862">
        <f>K714+K718</f>
        <v>23189043788</v>
      </c>
      <c r="L719" s="1676"/>
      <c r="M719" s="65">
        <f>I719-K719</f>
        <v>577057392</v>
      </c>
      <c r="N719" s="1869">
        <f>M719/K719*100</f>
        <v>2.4884915362427278</v>
      </c>
      <c r="O719" s="1870"/>
      <c r="P719" s="215"/>
      <c r="Q719" s="215"/>
      <c r="R719" s="215"/>
      <c r="S719" s="215"/>
      <c r="T719" s="215"/>
      <c r="U719" s="215"/>
      <c r="V719" s="215"/>
      <c r="W719" s="215"/>
      <c r="X719" s="215"/>
      <c r="Y719" s="215"/>
      <c r="Z719" s="215"/>
      <c r="AA719" s="215"/>
      <c r="AB719" s="215"/>
      <c r="AC719" s="215"/>
    </row>
    <row r="720" spans="1:34" ht="14.5" thickTop="1" x14ac:dyDescent="0.3">
      <c r="A720" s="66"/>
      <c r="B720" s="229"/>
      <c r="C720" s="229"/>
      <c r="D720" s="229"/>
      <c r="E720" s="229"/>
      <c r="F720" s="229"/>
      <c r="G720" s="229"/>
      <c r="H720" s="229"/>
      <c r="I720" s="229"/>
      <c r="J720" s="229"/>
      <c r="K720" s="229"/>
      <c r="L720" s="229"/>
      <c r="M720" s="229"/>
      <c r="N720" s="229"/>
      <c r="O720" s="229"/>
      <c r="P720" s="229"/>
      <c r="Q720" s="229"/>
      <c r="R720" s="229"/>
      <c r="S720" s="229"/>
      <c r="T720" s="229"/>
      <c r="U720" s="229"/>
      <c r="V720" s="229"/>
      <c r="W720" s="229"/>
      <c r="X720" s="229"/>
      <c r="Y720" s="229"/>
      <c r="Z720" s="229"/>
      <c r="AA720" s="229"/>
      <c r="AB720" s="229"/>
      <c r="AC720" s="229"/>
    </row>
    <row r="721" spans="1:29" ht="15.75" customHeight="1" x14ac:dyDescent="0.3">
      <c r="A721" s="66"/>
      <c r="B721" s="1612" t="s">
        <v>133</v>
      </c>
      <c r="C721" s="1612" t="s">
        <v>45</v>
      </c>
      <c r="D721" s="1612"/>
      <c r="E721" s="1612"/>
      <c r="F721" s="1612"/>
      <c r="G721" s="1612"/>
      <c r="H721" s="1612" t="str">
        <f>$B$69</f>
        <v>31 Desember 2019</v>
      </c>
      <c r="I721" s="1612"/>
      <c r="J721" s="1612"/>
      <c r="K721" s="1612"/>
      <c r="L721" s="1612"/>
      <c r="M721" s="1614" t="str">
        <f>$T$25</f>
        <v>31 Desember 2018</v>
      </c>
      <c r="N721" s="1612"/>
      <c r="O721" s="1612"/>
      <c r="P721" s="1615" t="s">
        <v>1141</v>
      </c>
      <c r="Q721" s="1616"/>
      <c r="R721" s="1617"/>
      <c r="S721" s="280"/>
      <c r="T721" s="1863"/>
      <c r="U721" s="1864"/>
      <c r="V721" s="1865"/>
      <c r="W721" s="1853" t="str">
        <f>H721</f>
        <v>31 Desember 2019</v>
      </c>
      <c r="X721" s="1853"/>
      <c r="Y721" s="1853" t="str">
        <f>K647</f>
        <v>31 Desember 2018</v>
      </c>
      <c r="Z721" s="1853"/>
      <c r="AA721" s="1853"/>
      <c r="AB721" s="248"/>
      <c r="AC721" s="216"/>
    </row>
    <row r="722" spans="1:29" ht="15.75" customHeight="1" x14ac:dyDescent="0.3">
      <c r="A722" s="66"/>
      <c r="B722" s="1613"/>
      <c r="C722" s="1613"/>
      <c r="D722" s="1613"/>
      <c r="E722" s="1613"/>
      <c r="F722" s="1613"/>
      <c r="G722" s="1613"/>
      <c r="H722" s="1613"/>
      <c r="I722" s="1613"/>
      <c r="J722" s="1613"/>
      <c r="K722" s="1613"/>
      <c r="L722" s="1613"/>
      <c r="M722" s="1613"/>
      <c r="N722" s="1613"/>
      <c r="O722" s="1613"/>
      <c r="P722" s="1618"/>
      <c r="Q722" s="1619"/>
      <c r="R722" s="1620"/>
      <c r="S722" s="280"/>
      <c r="T722" s="1866"/>
      <c r="U722" s="1867"/>
      <c r="V722" s="1868"/>
      <c r="W722" s="1853"/>
      <c r="X722" s="1853"/>
      <c r="Y722" s="1853"/>
      <c r="Z722" s="1853"/>
      <c r="AA722" s="1853"/>
      <c r="AB722" s="216"/>
      <c r="AC722" s="216"/>
    </row>
    <row r="723" spans="1:29" ht="15.5" x14ac:dyDescent="0.35">
      <c r="A723" s="66"/>
      <c r="B723" s="252">
        <v>1</v>
      </c>
      <c r="C723" s="1606" t="s">
        <v>79</v>
      </c>
      <c r="D723" s="1606"/>
      <c r="E723" s="1606"/>
      <c r="F723" s="1606"/>
      <c r="G723" s="1606"/>
      <c r="H723" s="1607">
        <f t="shared" ref="H723:H728" si="87">I680</f>
        <v>15750000000</v>
      </c>
      <c r="I723" s="1608"/>
      <c r="J723" s="1608"/>
      <c r="K723" s="1608"/>
      <c r="L723" s="1608"/>
      <c r="M723" s="1607">
        <f t="shared" ref="M723:M728" si="88">K680</f>
        <v>15750000000</v>
      </c>
      <c r="N723" s="1608"/>
      <c r="O723" s="1608"/>
      <c r="P723" s="1609">
        <f t="shared" ref="P723:P728" si="89">H723-M723</f>
        <v>0</v>
      </c>
      <c r="Q723" s="1610"/>
      <c r="R723" s="1611"/>
      <c r="S723" s="281"/>
      <c r="T723" s="1878" t="s">
        <v>48</v>
      </c>
      <c r="U723" s="1879"/>
      <c r="V723" s="1880"/>
      <c r="W723" s="1850">
        <f>I702/1000000</f>
        <v>23766.101180000001</v>
      </c>
      <c r="X723" s="1850"/>
      <c r="Y723" s="1855">
        <f>K702/1000000</f>
        <v>23189.043787999999</v>
      </c>
      <c r="Z723" s="1855"/>
      <c r="AA723" s="1855"/>
      <c r="AB723" s="216"/>
      <c r="AC723" s="216"/>
    </row>
    <row r="724" spans="1:29" ht="15.5" x14ac:dyDescent="0.35">
      <c r="A724" s="66"/>
      <c r="B724" s="252">
        <v>2</v>
      </c>
      <c r="C724" s="1606" t="s">
        <v>1755</v>
      </c>
      <c r="D724" s="1606"/>
      <c r="E724" s="1606"/>
      <c r="F724" s="1606"/>
      <c r="G724" s="1606"/>
      <c r="H724" s="1607">
        <f t="shared" si="87"/>
        <v>5985434940</v>
      </c>
      <c r="I724" s="1608"/>
      <c r="J724" s="1608"/>
      <c r="K724" s="1608"/>
      <c r="L724" s="1608"/>
      <c r="M724" s="1607">
        <f t="shared" si="88"/>
        <v>5055343940</v>
      </c>
      <c r="N724" s="1608"/>
      <c r="O724" s="1608"/>
      <c r="P724" s="1609">
        <f>H724-M724</f>
        <v>930091000</v>
      </c>
      <c r="Q724" s="1610"/>
      <c r="R724" s="1611"/>
      <c r="S724" s="282"/>
      <c r="T724" s="1881" t="s">
        <v>53</v>
      </c>
      <c r="U724" s="1882"/>
      <c r="V724" s="1883"/>
      <c r="W724" s="1851">
        <f>I714/1000000</f>
        <v>0</v>
      </c>
      <c r="X724" s="1851"/>
      <c r="Y724" s="1856">
        <f>K714/1000000</f>
        <v>0</v>
      </c>
      <c r="Z724" s="1856"/>
      <c r="AA724" s="1856"/>
      <c r="AB724" s="216"/>
      <c r="AC724" s="216"/>
    </row>
    <row r="725" spans="1:29" ht="15.5" x14ac:dyDescent="0.35">
      <c r="A725" s="66"/>
      <c r="B725" s="252">
        <v>3</v>
      </c>
      <c r="C725" s="1606" t="s">
        <v>81</v>
      </c>
      <c r="D725" s="1606"/>
      <c r="E725" s="1606"/>
      <c r="F725" s="1606"/>
      <c r="G725" s="1606"/>
      <c r="H725" s="1607">
        <f t="shared" si="87"/>
        <v>6311976199</v>
      </c>
      <c r="I725" s="1608"/>
      <c r="J725" s="1608"/>
      <c r="K725" s="1608"/>
      <c r="L725" s="1608"/>
      <c r="M725" s="1607">
        <f t="shared" si="88"/>
        <v>5775313149</v>
      </c>
      <c r="N725" s="1608"/>
      <c r="O725" s="1608"/>
      <c r="P725" s="1609">
        <f t="shared" si="89"/>
        <v>536663050</v>
      </c>
      <c r="Q725" s="1610"/>
      <c r="R725" s="1611"/>
      <c r="S725" s="283"/>
      <c r="T725" s="1874" t="s">
        <v>55</v>
      </c>
      <c r="U725" s="1875"/>
      <c r="V725" s="1876"/>
      <c r="W725" s="1852">
        <f>I718/1000000</f>
        <v>23766.101180000001</v>
      </c>
      <c r="X725" s="1852"/>
      <c r="Y725" s="1857">
        <f>K718/1000000</f>
        <v>23189.043787999999</v>
      </c>
      <c r="Z725" s="1857"/>
      <c r="AA725" s="1857"/>
      <c r="AB725" s="216"/>
      <c r="AC725" s="216"/>
    </row>
    <row r="726" spans="1:29" ht="15.5" x14ac:dyDescent="0.35">
      <c r="A726" s="66"/>
      <c r="B726" s="252">
        <v>4</v>
      </c>
      <c r="C726" s="1606" t="s">
        <v>339</v>
      </c>
      <c r="D726" s="1606"/>
      <c r="E726" s="1606"/>
      <c r="F726" s="1606"/>
      <c r="G726" s="1606"/>
      <c r="H726" s="1607">
        <f t="shared" si="87"/>
        <v>29536650</v>
      </c>
      <c r="I726" s="1608"/>
      <c r="J726" s="1608"/>
      <c r="K726" s="1608"/>
      <c r="L726" s="1608"/>
      <c r="M726" s="1607">
        <f t="shared" si="88"/>
        <v>29536650</v>
      </c>
      <c r="N726" s="1608"/>
      <c r="O726" s="1608"/>
      <c r="P726" s="1609">
        <f t="shared" si="89"/>
        <v>0</v>
      </c>
      <c r="Q726" s="1610"/>
      <c r="R726" s="1610"/>
      <c r="S726" s="216"/>
      <c r="T726" s="216"/>
      <c r="U726" s="216"/>
      <c r="V726" s="216"/>
      <c r="W726" s="216"/>
      <c r="X726" s="216"/>
      <c r="Y726" s="216"/>
      <c r="Z726" s="216"/>
      <c r="AA726" s="216"/>
      <c r="AB726" s="216"/>
      <c r="AC726" s="216"/>
    </row>
    <row r="727" spans="1:29" ht="15.5" x14ac:dyDescent="0.35">
      <c r="A727" s="66"/>
      <c r="B727" s="252">
        <v>5</v>
      </c>
      <c r="C727" s="1606" t="s">
        <v>350</v>
      </c>
      <c r="D727" s="1606"/>
      <c r="E727" s="1606"/>
      <c r="F727" s="1606"/>
      <c r="G727" s="1606"/>
      <c r="H727" s="1607">
        <f t="shared" si="87"/>
        <v>339285000</v>
      </c>
      <c r="I727" s="1608"/>
      <c r="J727" s="1608"/>
      <c r="K727" s="1608"/>
      <c r="L727" s="1608"/>
      <c r="M727" s="1607">
        <f t="shared" si="88"/>
        <v>335909500</v>
      </c>
      <c r="N727" s="1608"/>
      <c r="O727" s="1608"/>
      <c r="P727" s="1609">
        <f t="shared" si="89"/>
        <v>3375500</v>
      </c>
      <c r="Q727" s="1610"/>
      <c r="R727" s="1610"/>
      <c r="S727" s="216"/>
      <c r="T727" s="216"/>
      <c r="U727" s="216"/>
      <c r="V727" s="216"/>
      <c r="W727" s="216"/>
      <c r="X727" s="216"/>
      <c r="Y727" s="216"/>
      <c r="Z727" s="216"/>
      <c r="AA727" s="216"/>
      <c r="AB727" s="216"/>
      <c r="AC727" s="216"/>
    </row>
    <row r="728" spans="1:29" ht="15.5" x14ac:dyDescent="0.35">
      <c r="A728" s="66"/>
      <c r="B728" s="252">
        <v>6</v>
      </c>
      <c r="C728" s="1606" t="s">
        <v>351</v>
      </c>
      <c r="D728" s="1606"/>
      <c r="E728" s="1606"/>
      <c r="F728" s="1606"/>
      <c r="G728" s="1606"/>
      <c r="H728" s="1607">
        <f t="shared" si="87"/>
        <v>0</v>
      </c>
      <c r="I728" s="1608"/>
      <c r="J728" s="1608"/>
      <c r="K728" s="1608"/>
      <c r="L728" s="1608"/>
      <c r="M728" s="1607">
        <f t="shared" si="88"/>
        <v>0</v>
      </c>
      <c r="N728" s="1608"/>
      <c r="O728" s="1608"/>
      <c r="P728" s="1609">
        <f t="shared" si="89"/>
        <v>0</v>
      </c>
      <c r="Q728" s="1610"/>
      <c r="R728" s="1610"/>
      <c r="S728" s="216"/>
      <c r="T728" s="216"/>
      <c r="U728" s="216"/>
      <c r="V728" s="216"/>
      <c r="W728" s="216"/>
      <c r="X728" s="216"/>
      <c r="Y728" s="216"/>
      <c r="Z728" s="216"/>
      <c r="AA728" s="216"/>
      <c r="AB728" s="216"/>
      <c r="AC728" s="216"/>
    </row>
    <row r="729" spans="1:29" ht="6.75" customHeight="1" thickBot="1" x14ac:dyDescent="0.35">
      <c r="A729" s="66"/>
      <c r="B729" s="252"/>
      <c r="C729" s="1606"/>
      <c r="D729" s="1606"/>
      <c r="E729" s="1606"/>
      <c r="F729" s="1606"/>
      <c r="G729" s="1606"/>
      <c r="H729" s="1679"/>
      <c r="I729" s="1679"/>
      <c r="J729" s="1679"/>
      <c r="K729" s="1679"/>
      <c r="L729" s="1679"/>
      <c r="M729" s="1679"/>
      <c r="N729" s="1679"/>
      <c r="O729" s="1679"/>
      <c r="P729" s="1582"/>
      <c r="Q729" s="1583"/>
      <c r="R729" s="1583"/>
      <c r="S729" s="216"/>
      <c r="T729" s="216"/>
      <c r="U729" s="216"/>
      <c r="V729" s="216"/>
      <c r="W729" s="216"/>
      <c r="X729" s="216"/>
      <c r="Y729" s="216"/>
      <c r="Z729" s="216"/>
      <c r="AA729" s="216"/>
      <c r="AB729" s="216"/>
      <c r="AC729" s="216"/>
    </row>
    <row r="730" spans="1:29" ht="15.75" customHeight="1" thickTop="1" x14ac:dyDescent="0.3">
      <c r="A730" s="66"/>
      <c r="B730" s="284"/>
      <c r="C730" s="1602" t="s">
        <v>116</v>
      </c>
      <c r="D730" s="1602"/>
      <c r="E730" s="1602"/>
      <c r="F730" s="1602"/>
      <c r="G730" s="1602"/>
      <c r="H730" s="1603">
        <f>SUM(H723:H729)</f>
        <v>28416232789</v>
      </c>
      <c r="I730" s="1603"/>
      <c r="J730" s="1603"/>
      <c r="K730" s="1603"/>
      <c r="L730" s="1603"/>
      <c r="M730" s="1603">
        <f>SUM(M723:M729)</f>
        <v>26946103239</v>
      </c>
      <c r="N730" s="1603"/>
      <c r="O730" s="1603"/>
      <c r="P730" s="1604"/>
      <c r="Q730" s="1605"/>
      <c r="R730" s="1605"/>
      <c r="S730" s="216"/>
      <c r="T730" s="216"/>
      <c r="U730" s="216"/>
      <c r="V730" s="216"/>
      <c r="W730" s="216"/>
      <c r="X730" s="216"/>
      <c r="Y730" s="216"/>
      <c r="Z730" s="216"/>
      <c r="AA730" s="216"/>
      <c r="AB730" s="216"/>
      <c r="AC730" s="216"/>
    </row>
    <row r="731" spans="1:29" ht="15.5" x14ac:dyDescent="0.35">
      <c r="A731" s="66"/>
      <c r="B731" s="249"/>
      <c r="C731" s="250"/>
      <c r="D731" s="250"/>
      <c r="E731" s="250"/>
      <c r="F731" s="250"/>
      <c r="G731" s="250"/>
      <c r="H731" s="250"/>
      <c r="I731" s="251"/>
      <c r="J731" s="251"/>
      <c r="K731" s="251"/>
      <c r="L731" s="251"/>
      <c r="M731" s="251"/>
      <c r="N731" s="251"/>
      <c r="O731" s="250"/>
      <c r="P731" s="250"/>
      <c r="Q731" s="250"/>
      <c r="R731" s="216"/>
      <c r="S731" s="216"/>
      <c r="T731" s="216"/>
      <c r="U731" s="216"/>
      <c r="V731" s="216"/>
      <c r="W731" s="216"/>
      <c r="X731" s="216"/>
      <c r="Y731" s="216"/>
      <c r="Z731" s="216"/>
      <c r="AA731" s="216"/>
      <c r="AB731" s="216"/>
      <c r="AC731" s="216"/>
    </row>
    <row r="732" spans="1:29" ht="14.25" customHeight="1" x14ac:dyDescent="0.3">
      <c r="A732" s="66"/>
      <c r="B732" s="1612" t="s">
        <v>133</v>
      </c>
      <c r="C732" s="1612" t="s">
        <v>45</v>
      </c>
      <c r="D732" s="1612"/>
      <c r="E732" s="1612"/>
      <c r="F732" s="1612"/>
      <c r="G732" s="1612"/>
      <c r="H732" s="1612" t="str">
        <f>$B$69</f>
        <v>31 Desember 2019</v>
      </c>
      <c r="I732" s="1612"/>
      <c r="J732" s="1612"/>
      <c r="K732" s="1612"/>
      <c r="L732" s="1612"/>
      <c r="M732" s="1614" t="str">
        <f>$T$25</f>
        <v>31 Desember 2018</v>
      </c>
      <c r="N732" s="1612"/>
      <c r="O732" s="1612"/>
      <c r="P732" s="1615" t="s">
        <v>1141</v>
      </c>
      <c r="Q732" s="1616"/>
      <c r="R732" s="1617"/>
      <c r="S732" s="216"/>
      <c r="T732" s="216"/>
      <c r="U732" s="216"/>
      <c r="V732" s="216"/>
      <c r="W732" s="216"/>
      <c r="X732" s="216"/>
      <c r="Y732" s="216"/>
      <c r="Z732" s="216"/>
      <c r="AA732" s="216"/>
      <c r="AB732" s="216"/>
      <c r="AC732" s="216"/>
    </row>
    <row r="733" spans="1:29" ht="14.25" customHeight="1" x14ac:dyDescent="0.3">
      <c r="A733" s="66"/>
      <c r="B733" s="1613"/>
      <c r="C733" s="1613"/>
      <c r="D733" s="1613"/>
      <c r="E733" s="1613"/>
      <c r="F733" s="1613"/>
      <c r="G733" s="1613"/>
      <c r="H733" s="1613"/>
      <c r="I733" s="1613"/>
      <c r="J733" s="1613"/>
      <c r="K733" s="1613"/>
      <c r="L733" s="1613"/>
      <c r="M733" s="1613"/>
      <c r="N733" s="1613"/>
      <c r="O733" s="1613"/>
      <c r="P733" s="1618"/>
      <c r="Q733" s="1619"/>
      <c r="R733" s="1620"/>
      <c r="S733" s="216"/>
      <c r="T733" s="216"/>
      <c r="U733" s="216"/>
      <c r="V733" s="216"/>
      <c r="W733" s="216"/>
      <c r="X733" s="216"/>
      <c r="Y733" s="216"/>
      <c r="Z733" s="216"/>
      <c r="AA733" s="216"/>
      <c r="AB733" s="216"/>
      <c r="AC733" s="216"/>
    </row>
    <row r="734" spans="1:29" ht="15.5" x14ac:dyDescent="0.35">
      <c r="A734" s="66"/>
      <c r="B734" s="252">
        <v>1</v>
      </c>
      <c r="C734" s="1606" t="str">
        <f>$C$697</f>
        <v>Aset Tak Berwujud</v>
      </c>
      <c r="D734" s="1606"/>
      <c r="E734" s="1606"/>
      <c r="F734" s="1606"/>
      <c r="G734" s="1606"/>
      <c r="H734" s="1607">
        <f>I697+I698</f>
        <v>79907000</v>
      </c>
      <c r="I734" s="1608"/>
      <c r="J734" s="1608"/>
      <c r="K734" s="1608"/>
      <c r="L734" s="1608"/>
      <c r="M734" s="1607">
        <f>K697+K698</f>
        <v>79907000</v>
      </c>
      <c r="N734" s="1608"/>
      <c r="O734" s="1608"/>
      <c r="P734" s="1609">
        <f>H734-M734</f>
        <v>0</v>
      </c>
      <c r="Q734" s="1610"/>
      <c r="R734" s="1611"/>
      <c r="S734" s="216"/>
      <c r="T734" s="216"/>
      <c r="U734" s="216"/>
      <c r="V734" s="216"/>
      <c r="W734" s="216"/>
      <c r="X734" s="216"/>
      <c r="Y734" s="216"/>
      <c r="Z734" s="216"/>
      <c r="AA734" s="216"/>
      <c r="AB734" s="216"/>
      <c r="AC734" s="216"/>
    </row>
    <row r="735" spans="1:29" ht="15.5" x14ac:dyDescent="0.35">
      <c r="A735" s="66"/>
      <c r="B735" s="252">
        <v>2</v>
      </c>
      <c r="C735" s="1606" t="str">
        <f>$C$699</f>
        <v>Akumulasi Penyusutan dan Amortisasi Aset Lainnya</v>
      </c>
      <c r="D735" s="1606"/>
      <c r="E735" s="1606"/>
      <c r="F735" s="1606"/>
      <c r="G735" s="1606"/>
      <c r="H735" s="1607">
        <f>$I$699</f>
        <v>-79907000</v>
      </c>
      <c r="I735" s="1608"/>
      <c r="J735" s="1608"/>
      <c r="K735" s="1608"/>
      <c r="L735" s="1608"/>
      <c r="M735" s="1607">
        <f>K699</f>
        <v>-79907000</v>
      </c>
      <c r="N735" s="1608"/>
      <c r="O735" s="1608"/>
      <c r="P735" s="1609">
        <f>H735-M735</f>
        <v>0</v>
      </c>
      <c r="Q735" s="1610"/>
      <c r="R735" s="1611"/>
      <c r="S735" s="216"/>
      <c r="T735" s="216"/>
      <c r="U735" s="216"/>
      <c r="V735" s="216"/>
      <c r="W735" s="216"/>
      <c r="X735" s="216"/>
      <c r="Y735" s="216"/>
      <c r="Z735" s="216"/>
      <c r="AA735" s="216"/>
      <c r="AB735" s="216"/>
      <c r="AC735" s="216"/>
    </row>
    <row r="736" spans="1:29" ht="14.5" thickBot="1" x14ac:dyDescent="0.35">
      <c r="A736" s="66"/>
      <c r="B736" s="252"/>
      <c r="C736" s="1606"/>
      <c r="D736" s="1606"/>
      <c r="E736" s="1606"/>
      <c r="F736" s="1606"/>
      <c r="G736" s="1606"/>
      <c r="H736" s="1679"/>
      <c r="I736" s="1679"/>
      <c r="J736" s="1679"/>
      <c r="K736" s="1679"/>
      <c r="L736" s="1679"/>
      <c r="M736" s="1679"/>
      <c r="N736" s="1679"/>
      <c r="O736" s="1679"/>
      <c r="P736" s="1582"/>
      <c r="Q736" s="1583"/>
      <c r="R736" s="1583"/>
      <c r="S736" s="216"/>
      <c r="T736" s="216"/>
      <c r="U736" s="216"/>
      <c r="V736" s="216"/>
      <c r="W736" s="216"/>
      <c r="X736" s="216"/>
      <c r="Y736" s="216"/>
      <c r="Z736" s="216"/>
      <c r="AA736" s="216"/>
      <c r="AB736" s="216"/>
      <c r="AC736" s="216"/>
    </row>
    <row r="737" spans="1:34" ht="14.5" thickTop="1" x14ac:dyDescent="0.3">
      <c r="A737" s="66"/>
      <c r="B737" s="284"/>
      <c r="C737" s="1602" t="s">
        <v>116</v>
      </c>
      <c r="D737" s="1602"/>
      <c r="E737" s="1602"/>
      <c r="F737" s="1602"/>
      <c r="G737" s="1602"/>
      <c r="H737" s="1603">
        <f>SUM(H734:H736)</f>
        <v>0</v>
      </c>
      <c r="I737" s="1603"/>
      <c r="J737" s="1603"/>
      <c r="K737" s="1603"/>
      <c r="L737" s="1603"/>
      <c r="M737" s="1603">
        <f>SUM(M734:M736)</f>
        <v>0</v>
      </c>
      <c r="N737" s="1603"/>
      <c r="O737" s="1603"/>
      <c r="P737" s="1604"/>
      <c r="Q737" s="1605"/>
      <c r="R737" s="1605"/>
      <c r="S737" s="216"/>
      <c r="T737" s="216"/>
      <c r="U737" s="216"/>
      <c r="V737" s="216"/>
      <c r="W737" s="216"/>
      <c r="X737" s="216"/>
      <c r="Y737" s="216"/>
      <c r="Z737" s="216"/>
      <c r="AA737" s="216"/>
      <c r="AB737" s="216"/>
      <c r="AC737" s="216"/>
    </row>
    <row r="738" spans="1:34" ht="15.5" x14ac:dyDescent="0.35">
      <c r="A738" s="66"/>
      <c r="B738" s="249"/>
      <c r="C738" s="250"/>
      <c r="D738" s="250"/>
      <c r="E738" s="250"/>
      <c r="F738" s="250"/>
      <c r="G738" s="250"/>
      <c r="H738" s="250"/>
      <c r="I738" s="251"/>
      <c r="J738" s="251"/>
      <c r="K738" s="251"/>
      <c r="L738" s="251"/>
      <c r="M738" s="251"/>
      <c r="N738" s="251"/>
      <c r="O738" s="250"/>
      <c r="P738" s="250"/>
      <c r="Q738" s="250"/>
      <c r="R738" s="216"/>
      <c r="S738" s="216"/>
      <c r="T738" s="216"/>
      <c r="U738" s="216"/>
      <c r="V738" s="216"/>
      <c r="W738" s="216"/>
      <c r="X738" s="216"/>
      <c r="Y738" s="216"/>
      <c r="Z738" s="216"/>
      <c r="AA738" s="216"/>
      <c r="AB738" s="216"/>
      <c r="AC738" s="216"/>
    </row>
    <row r="739" spans="1:34" ht="15.5" x14ac:dyDescent="0.35">
      <c r="A739" s="66"/>
      <c r="B739" s="249"/>
      <c r="C739" s="250"/>
      <c r="D739" s="250"/>
      <c r="E739" s="250"/>
      <c r="F739" s="250"/>
      <c r="G739" s="250"/>
      <c r="H739" s="250"/>
      <c r="I739" s="251"/>
      <c r="J739" s="251"/>
      <c r="K739" s="251"/>
      <c r="L739" s="251"/>
      <c r="M739" s="251"/>
      <c r="N739" s="251"/>
      <c r="O739" s="250"/>
      <c r="P739" s="250"/>
      <c r="Q739" s="250"/>
      <c r="R739" s="216"/>
      <c r="S739" s="216"/>
      <c r="T739" s="216"/>
      <c r="U739" s="216"/>
      <c r="V739" s="216"/>
      <c r="W739" s="216"/>
      <c r="X739" s="216"/>
      <c r="Y739" s="216"/>
      <c r="Z739" s="216"/>
      <c r="AA739" s="216"/>
      <c r="AB739" s="216"/>
      <c r="AC739" s="216"/>
      <c r="AE739" s="326"/>
      <c r="AF739" s="326"/>
      <c r="AG739" s="326"/>
      <c r="AH739" s="326"/>
    </row>
    <row r="740" spans="1:34" ht="18" x14ac:dyDescent="0.35">
      <c r="A740" s="66"/>
      <c r="B740" s="1682" t="s">
        <v>1221</v>
      </c>
      <c r="C740" s="1682"/>
      <c r="D740" s="1682"/>
      <c r="E740" s="1682"/>
      <c r="F740" s="1682"/>
      <c r="G740" s="1682"/>
      <c r="H740" s="1682"/>
      <c r="I740" s="1682"/>
      <c r="J740" s="1682"/>
      <c r="K740" s="1682"/>
      <c r="L740" s="1682"/>
      <c r="M740" s="1682"/>
      <c r="N740" s="251"/>
      <c r="O740" s="250"/>
      <c r="P740" s="250"/>
      <c r="Q740" s="250"/>
      <c r="R740" s="216"/>
      <c r="S740" s="216"/>
      <c r="T740" s="216"/>
      <c r="U740" s="216"/>
      <c r="V740" s="216"/>
      <c r="W740" s="216"/>
      <c r="X740" s="216"/>
      <c r="Y740" s="216"/>
      <c r="Z740" s="216"/>
      <c r="AA740" s="216"/>
      <c r="AB740" s="216"/>
      <c r="AC740" s="216"/>
      <c r="AE740" s="326"/>
      <c r="AF740" s="326"/>
      <c r="AG740" s="326"/>
      <c r="AH740" s="326"/>
    </row>
    <row r="741" spans="1:34" ht="18" x14ac:dyDescent="0.4">
      <c r="A741" s="66"/>
      <c r="B741" s="1858" t="str">
        <f>"UNTUK PERIODE YANG BERAKHIR "&amp;UPPER(Input!$Q$24)&amp;" DAN "&amp;UPPER(Input!$Q$25)</f>
        <v>UNTUK PERIODE YANG BERAKHIR 31 DESEMBER 2019 DAN 31 DESEMBER 2018</v>
      </c>
      <c r="C741" s="1858"/>
      <c r="D741" s="1858"/>
      <c r="E741" s="1858"/>
      <c r="F741" s="1858"/>
      <c r="G741" s="1858"/>
      <c r="H741" s="1858"/>
      <c r="I741" s="1858"/>
      <c r="J741" s="1858"/>
      <c r="K741" s="1858"/>
      <c r="L741" s="1858"/>
      <c r="M741" s="1858"/>
      <c r="N741" s="251"/>
      <c r="O741" s="250"/>
      <c r="P741" s="250"/>
      <c r="Q741" s="250"/>
      <c r="R741" s="216"/>
      <c r="S741" s="216"/>
      <c r="T741" s="216"/>
      <c r="U741" s="216"/>
      <c r="V741" s="216"/>
      <c r="W741" s="216"/>
      <c r="X741" s="216"/>
      <c r="Y741" s="216"/>
      <c r="Z741" s="216"/>
      <c r="AA741" s="216"/>
      <c r="AB741" s="216"/>
      <c r="AC741" s="216"/>
      <c r="AE741" s="326"/>
      <c r="AF741" s="326"/>
      <c r="AG741" s="326"/>
      <c r="AH741" s="326"/>
    </row>
    <row r="742" spans="1:34" ht="18" x14ac:dyDescent="0.4">
      <c r="A742" s="66"/>
      <c r="B742" s="339"/>
      <c r="C742" s="339"/>
      <c r="D742" s="339"/>
      <c r="E742" s="339"/>
      <c r="F742" s="339"/>
      <c r="G742" s="339"/>
      <c r="H742" s="339"/>
      <c r="I742" s="339"/>
      <c r="J742" s="339"/>
      <c r="K742" s="339"/>
      <c r="L742" s="339"/>
      <c r="M742" s="339"/>
      <c r="N742" s="251"/>
      <c r="O742" s="250"/>
      <c r="P742" s="250"/>
      <c r="Q742" s="250"/>
      <c r="R742" s="216"/>
      <c r="S742" s="216"/>
      <c r="T742" s="216"/>
      <c r="U742" s="216"/>
      <c r="V742" s="216"/>
      <c r="W742" s="216"/>
      <c r="X742" s="216"/>
      <c r="Y742" s="216"/>
      <c r="Z742" s="216"/>
      <c r="AA742" s="216"/>
      <c r="AB742" s="216"/>
      <c r="AC742" s="216"/>
      <c r="AE742" s="341"/>
      <c r="AF742" s="341"/>
      <c r="AG742" s="341"/>
      <c r="AH742" s="341"/>
    </row>
    <row r="743" spans="1:34" ht="23.25" customHeight="1" x14ac:dyDescent="0.35">
      <c r="A743" s="66"/>
      <c r="B743" s="1661" t="s">
        <v>264</v>
      </c>
      <c r="C743" s="1662"/>
      <c r="D743" s="1662"/>
      <c r="E743" s="1662"/>
      <c r="F743" s="1662"/>
      <c r="G743" s="1662"/>
      <c r="H743" s="1662"/>
      <c r="I743" s="1662"/>
      <c r="J743" s="1663"/>
      <c r="K743" s="1145"/>
      <c r="L743" s="1146" t="str">
        <f>Input!$Y$24</f>
        <v>2019</v>
      </c>
      <c r="M743" s="1147" t="str">
        <f>Input!$Y$25</f>
        <v>2018</v>
      </c>
      <c r="N743" s="251"/>
      <c r="O743" s="250"/>
      <c r="P743" s="250"/>
      <c r="Q743" s="250"/>
      <c r="R743" s="216"/>
      <c r="S743" s="216"/>
      <c r="T743" s="216"/>
      <c r="U743" s="216"/>
      <c r="V743" s="216"/>
      <c r="W743" s="216"/>
      <c r="X743" s="216"/>
      <c r="Y743" s="216"/>
      <c r="Z743" s="216"/>
      <c r="AA743" s="216"/>
      <c r="AB743" s="216"/>
      <c r="AC743" s="216"/>
      <c r="AE743" s="326"/>
      <c r="AF743" s="326"/>
      <c r="AG743" s="326"/>
      <c r="AH743" s="326"/>
    </row>
    <row r="744" spans="1:34" ht="15.5" x14ac:dyDescent="0.35">
      <c r="A744" s="66"/>
      <c r="B744" s="1148" t="s">
        <v>1222</v>
      </c>
      <c r="C744" s="1149"/>
      <c r="D744" s="1149"/>
      <c r="E744" s="1149"/>
      <c r="F744" s="1149"/>
      <c r="G744" s="1149"/>
      <c r="H744" s="1149"/>
      <c r="I744" s="1149"/>
      <c r="J744" s="1149"/>
      <c r="K744" s="329"/>
      <c r="L744" s="612"/>
      <c r="M744" s="613"/>
      <c r="N744" s="251"/>
      <c r="O744" s="250"/>
      <c r="P744" s="250"/>
      <c r="Q744" s="250"/>
      <c r="R744" s="216"/>
      <c r="S744" s="216"/>
      <c r="T744" s="216"/>
      <c r="U744" s="216"/>
      <c r="V744" s="216"/>
      <c r="W744" s="216"/>
      <c r="X744" s="216"/>
      <c r="Y744" s="216"/>
      <c r="Z744" s="216"/>
      <c r="AA744" s="216"/>
      <c r="AB744" s="216"/>
      <c r="AC744" s="216"/>
      <c r="AE744" s="326"/>
      <c r="AF744" s="326"/>
      <c r="AG744" s="326"/>
      <c r="AH744" s="326"/>
    </row>
    <row r="745" spans="1:34" ht="15.5" x14ac:dyDescent="0.35">
      <c r="A745" s="66"/>
      <c r="B745" s="1150"/>
      <c r="C745" s="1151" t="s">
        <v>1223</v>
      </c>
      <c r="D745" s="1151"/>
      <c r="E745" s="1151"/>
      <c r="F745" s="1151"/>
      <c r="G745" s="1149"/>
      <c r="H745" s="1149"/>
      <c r="I745" s="1149"/>
      <c r="J745" s="1149"/>
      <c r="K745" s="327"/>
      <c r="L745" s="614"/>
      <c r="M745" s="613"/>
      <c r="N745" s="251"/>
      <c r="O745" s="250"/>
      <c r="P745" s="250"/>
      <c r="Q745" s="250"/>
      <c r="R745" s="216"/>
      <c r="S745" s="216"/>
      <c r="T745" s="216"/>
      <c r="U745" s="216"/>
      <c r="V745" s="216"/>
      <c r="W745" s="216"/>
      <c r="X745" s="216"/>
      <c r="Y745" s="216"/>
      <c r="Z745" s="216"/>
      <c r="AA745" s="216"/>
      <c r="AB745" s="216"/>
      <c r="AC745" s="216"/>
      <c r="AE745" s="326"/>
      <c r="AF745" s="326"/>
      <c r="AG745" s="326"/>
      <c r="AH745" s="326"/>
    </row>
    <row r="746" spans="1:34" ht="15.5" x14ac:dyDescent="0.35">
      <c r="A746" s="66"/>
      <c r="B746" s="1152"/>
      <c r="C746" s="1153"/>
      <c r="D746" s="1151" t="s">
        <v>1224</v>
      </c>
      <c r="E746" s="1153"/>
      <c r="F746" s="1153"/>
      <c r="G746" s="1149"/>
      <c r="H746" s="1149"/>
      <c r="I746" s="1149"/>
      <c r="J746" s="1149"/>
      <c r="K746" s="328"/>
      <c r="L746" s="614"/>
      <c r="M746" s="613"/>
      <c r="N746" s="251"/>
      <c r="O746" s="250"/>
      <c r="P746" s="250"/>
      <c r="Q746" s="250"/>
      <c r="R746" s="216"/>
      <c r="S746" s="216"/>
      <c r="T746" s="216"/>
      <c r="U746" s="216"/>
      <c r="V746" s="216"/>
      <c r="W746" s="216"/>
      <c r="X746" s="216"/>
      <c r="Y746" s="216"/>
      <c r="Z746" s="216"/>
      <c r="AA746" s="216"/>
      <c r="AB746" s="216"/>
      <c r="AC746" s="216"/>
      <c r="AE746" s="326"/>
      <c r="AF746" s="326"/>
      <c r="AG746" s="326"/>
      <c r="AH746" s="326"/>
    </row>
    <row r="747" spans="1:34" ht="15.5" x14ac:dyDescent="0.35">
      <c r="A747" s="66"/>
      <c r="B747" s="1152"/>
      <c r="C747" s="1153"/>
      <c r="D747" s="1153"/>
      <c r="E747" s="1153" t="s">
        <v>1225</v>
      </c>
      <c r="F747" s="1153"/>
      <c r="G747" s="1149"/>
      <c r="H747" s="1149"/>
      <c r="I747" s="1149"/>
      <c r="J747" s="1149"/>
      <c r="K747" s="328"/>
      <c r="L747" s="609">
        <v>0</v>
      </c>
      <c r="M747" s="610">
        <v>0</v>
      </c>
      <c r="N747" s="251"/>
      <c r="O747" s="250"/>
      <c r="P747" s="250"/>
      <c r="Q747" s="250"/>
      <c r="R747" s="216"/>
      <c r="S747" s="216"/>
      <c r="T747" s="216"/>
      <c r="U747" s="216"/>
      <c r="V747" s="216"/>
      <c r="W747" s="216"/>
      <c r="X747" s="216"/>
      <c r="Y747" s="216"/>
      <c r="Z747" s="216"/>
      <c r="AA747" s="216"/>
      <c r="AB747" s="216"/>
      <c r="AC747" s="216"/>
      <c r="AE747" s="326"/>
      <c r="AF747" s="326"/>
      <c r="AG747" s="326"/>
      <c r="AH747" s="326"/>
    </row>
    <row r="748" spans="1:34" ht="15.5" x14ac:dyDescent="0.35">
      <c r="A748" s="66"/>
      <c r="B748" s="1152"/>
      <c r="C748" s="1153"/>
      <c r="D748" s="1153"/>
      <c r="E748" s="1154" t="s">
        <v>1226</v>
      </c>
      <c r="F748" s="1155"/>
      <c r="G748" s="1149"/>
      <c r="H748" s="1149"/>
      <c r="I748" s="1149"/>
      <c r="J748" s="1149"/>
      <c r="K748" s="328"/>
      <c r="L748" s="609">
        <v>0</v>
      </c>
      <c r="M748" s="610">
        <v>0</v>
      </c>
      <c r="N748" s="251"/>
      <c r="O748" s="250"/>
      <c r="P748" s="250"/>
      <c r="Q748" s="250"/>
      <c r="R748" s="216"/>
      <c r="S748" s="216"/>
      <c r="T748" s="216"/>
      <c r="U748" s="216"/>
      <c r="V748" s="216"/>
      <c r="W748" s="216"/>
      <c r="X748" s="216"/>
      <c r="Y748" s="216"/>
      <c r="Z748" s="216"/>
      <c r="AA748" s="216"/>
      <c r="AB748" s="216"/>
      <c r="AC748" s="216"/>
      <c r="AE748" s="326"/>
      <c r="AF748" s="326"/>
      <c r="AG748" s="326"/>
      <c r="AH748" s="326"/>
    </row>
    <row r="749" spans="1:34" ht="15.5" x14ac:dyDescent="0.35">
      <c r="A749" s="66"/>
      <c r="B749" s="1152"/>
      <c r="C749" s="1153"/>
      <c r="D749" s="1153"/>
      <c r="E749" s="1153" t="s">
        <v>1674</v>
      </c>
      <c r="F749" s="1153"/>
      <c r="G749" s="1149"/>
      <c r="H749" s="1149"/>
      <c r="I749" s="1149"/>
      <c r="J749" s="1149"/>
      <c r="K749" s="328"/>
      <c r="L749" s="609">
        <v>0</v>
      </c>
      <c r="M749" s="610">
        <v>0</v>
      </c>
      <c r="N749" s="251"/>
      <c r="O749" s="250"/>
      <c r="P749" s="250"/>
      <c r="Q749" s="250"/>
      <c r="R749" s="216"/>
      <c r="S749" s="216"/>
      <c r="T749" s="216"/>
      <c r="U749" s="216"/>
      <c r="V749" s="216"/>
      <c r="W749" s="216"/>
      <c r="X749" s="216"/>
      <c r="Y749" s="216"/>
      <c r="Z749" s="216"/>
      <c r="AA749" s="216"/>
      <c r="AB749" s="216"/>
      <c r="AC749" s="216"/>
      <c r="AE749" s="326"/>
      <c r="AF749" s="326"/>
      <c r="AG749" s="326"/>
      <c r="AH749" s="326"/>
    </row>
    <row r="750" spans="1:34" ht="15.5" x14ac:dyDescent="0.35">
      <c r="A750" s="66"/>
      <c r="B750" s="1152"/>
      <c r="C750" s="1153"/>
      <c r="D750" s="1153"/>
      <c r="E750" s="1153" t="s">
        <v>1227</v>
      </c>
      <c r="F750" s="1153"/>
      <c r="G750" s="1149"/>
      <c r="H750" s="1149"/>
      <c r="I750" s="1149"/>
      <c r="J750" s="1149"/>
      <c r="K750" s="328"/>
      <c r="L750" s="609">
        <v>0</v>
      </c>
      <c r="M750" s="610">
        <v>0</v>
      </c>
      <c r="N750" s="251"/>
      <c r="O750" s="250"/>
      <c r="P750" s="250"/>
      <c r="Q750" s="250"/>
      <c r="R750" s="216"/>
      <c r="S750" s="216"/>
      <c r="T750" s="216"/>
      <c r="U750" s="216"/>
      <c r="V750" s="216"/>
      <c r="W750" s="216"/>
      <c r="X750" s="216"/>
      <c r="Y750" s="216"/>
      <c r="Z750" s="216"/>
      <c r="AA750" s="216"/>
      <c r="AB750" s="216"/>
      <c r="AC750" s="216"/>
      <c r="AE750" s="326"/>
      <c r="AF750" s="326"/>
      <c r="AG750" s="326"/>
      <c r="AH750" s="326"/>
    </row>
    <row r="751" spans="1:34" ht="15.5" x14ac:dyDescent="0.35">
      <c r="A751" s="66"/>
      <c r="B751" s="1152"/>
      <c r="C751" s="1153"/>
      <c r="D751" s="1153"/>
      <c r="E751" s="1153" t="s">
        <v>1228</v>
      </c>
      <c r="F751" s="1153"/>
      <c r="G751" s="1149"/>
      <c r="H751" s="1149"/>
      <c r="I751" s="1149"/>
      <c r="J751" s="1149"/>
      <c r="K751" s="328"/>
      <c r="L751" s="609">
        <v>0</v>
      </c>
      <c r="M751" s="610">
        <v>0</v>
      </c>
      <c r="N751" s="251"/>
      <c r="O751" s="250"/>
      <c r="P751" s="250"/>
      <c r="Q751" s="250"/>
      <c r="R751" s="216"/>
      <c r="S751" s="216"/>
      <c r="T751" s="216"/>
      <c r="U751" s="216"/>
      <c r="V751" s="216"/>
      <c r="W751" s="216"/>
      <c r="X751" s="216"/>
      <c r="Y751" s="216"/>
      <c r="Z751" s="216"/>
      <c r="AA751" s="216"/>
      <c r="AB751" s="216"/>
      <c r="AC751" s="216"/>
      <c r="AE751" s="326"/>
      <c r="AF751" s="326"/>
      <c r="AG751" s="326"/>
      <c r="AH751" s="326"/>
    </row>
    <row r="752" spans="1:34" ht="15.5" x14ac:dyDescent="0.35">
      <c r="A752" s="66"/>
      <c r="B752" s="1152"/>
      <c r="C752" s="1153"/>
      <c r="D752" s="1153"/>
      <c r="E752" s="1153" t="s">
        <v>1673</v>
      </c>
      <c r="F752" s="1153"/>
      <c r="G752" s="1149"/>
      <c r="H752" s="1149"/>
      <c r="I752" s="1149"/>
      <c r="J752" s="1149"/>
      <c r="K752" s="328"/>
      <c r="L752" s="609">
        <v>0</v>
      </c>
      <c r="M752" s="610">
        <v>0</v>
      </c>
      <c r="N752" s="251"/>
      <c r="O752" s="250"/>
      <c r="P752" s="250"/>
      <c r="Q752" s="250"/>
      <c r="R752" s="216"/>
      <c r="S752" s="216"/>
      <c r="T752" s="216"/>
      <c r="U752" s="216"/>
      <c r="V752" s="216"/>
      <c r="W752" s="216"/>
      <c r="X752" s="216"/>
      <c r="Y752" s="216"/>
      <c r="Z752" s="216"/>
      <c r="AA752" s="216"/>
      <c r="AB752" s="216"/>
      <c r="AC752" s="216"/>
      <c r="AE752" s="326"/>
      <c r="AF752" s="326"/>
      <c r="AG752" s="326"/>
      <c r="AH752" s="326"/>
    </row>
    <row r="753" spans="1:34" ht="15.5" x14ac:dyDescent="0.35">
      <c r="A753" s="66"/>
      <c r="B753" s="1152"/>
      <c r="C753" s="1153"/>
      <c r="D753" s="1153"/>
      <c r="E753" s="1153" t="s">
        <v>1229</v>
      </c>
      <c r="F753" s="1153"/>
      <c r="G753" s="1149"/>
      <c r="H753" s="1149"/>
      <c r="I753" s="1149"/>
      <c r="J753" s="1149"/>
      <c r="K753" s="328"/>
      <c r="L753" s="609">
        <v>0</v>
      </c>
      <c r="M753" s="610">
        <v>0</v>
      </c>
      <c r="N753" s="251"/>
      <c r="O753" s="250"/>
      <c r="P753" s="250"/>
      <c r="Q753" s="250"/>
      <c r="R753" s="216"/>
      <c r="S753" s="216"/>
      <c r="T753" s="216"/>
      <c r="U753" s="216"/>
      <c r="V753" s="216"/>
      <c r="W753" s="216"/>
      <c r="X753" s="216"/>
      <c r="Y753" s="216"/>
      <c r="Z753" s="216"/>
      <c r="AA753" s="216"/>
      <c r="AB753" s="216"/>
      <c r="AC753" s="216"/>
      <c r="AE753" s="326"/>
      <c r="AF753" s="326"/>
      <c r="AG753" s="326"/>
      <c r="AH753" s="326"/>
    </row>
    <row r="754" spans="1:34" ht="15.5" x14ac:dyDescent="0.35">
      <c r="A754" s="66"/>
      <c r="B754" s="1152"/>
      <c r="C754" s="1153"/>
      <c r="D754" s="1153"/>
      <c r="E754" s="1153" t="s">
        <v>1230</v>
      </c>
      <c r="F754" s="1153"/>
      <c r="G754" s="1149"/>
      <c r="H754" s="1149"/>
      <c r="I754" s="1149"/>
      <c r="J754" s="1149"/>
      <c r="K754" s="328"/>
      <c r="L754" s="609">
        <v>0</v>
      </c>
      <c r="M754" s="610">
        <v>0</v>
      </c>
      <c r="N754" s="251"/>
      <c r="O754" s="250"/>
      <c r="P754" s="250"/>
      <c r="Q754" s="250"/>
      <c r="R754" s="216"/>
      <c r="S754" s="216"/>
      <c r="T754" s="216"/>
      <c r="U754" s="216"/>
      <c r="V754" s="216"/>
      <c r="W754" s="216"/>
      <c r="X754" s="216"/>
      <c r="Y754" s="216"/>
      <c r="Z754" s="216"/>
      <c r="AA754" s="216"/>
      <c r="AB754" s="216"/>
      <c r="AC754" s="216"/>
      <c r="AE754" s="326"/>
      <c r="AF754" s="326"/>
      <c r="AG754" s="326"/>
      <c r="AH754" s="326"/>
    </row>
    <row r="755" spans="1:34" ht="15.5" x14ac:dyDescent="0.35">
      <c r="A755" s="66"/>
      <c r="B755" s="1152"/>
      <c r="C755" s="1153"/>
      <c r="D755" s="1153"/>
      <c r="E755" s="1156"/>
      <c r="F755" s="1157" t="s">
        <v>1231</v>
      </c>
      <c r="G755" s="1149"/>
      <c r="H755" s="1149"/>
      <c r="I755" s="1149"/>
      <c r="J755" s="1149"/>
      <c r="K755" s="328"/>
      <c r="L755" s="615">
        <f>SUM(L747:L754)</f>
        <v>0</v>
      </c>
      <c r="M755" s="616">
        <f>SUM(M747:M754)</f>
        <v>0</v>
      </c>
      <c r="N755" s="251"/>
      <c r="O755" s="250"/>
      <c r="P755" s="250"/>
      <c r="Q755" s="250"/>
      <c r="R755" s="216"/>
      <c r="S755" s="216"/>
      <c r="T755" s="216"/>
      <c r="U755" s="216"/>
      <c r="V755" s="216"/>
      <c r="W755" s="216"/>
      <c r="X755" s="216"/>
      <c r="Y755" s="216"/>
      <c r="Z755" s="216"/>
      <c r="AA755" s="216"/>
      <c r="AB755" s="216"/>
      <c r="AC755" s="216"/>
      <c r="AE755" s="326"/>
      <c r="AF755" s="326"/>
      <c r="AG755" s="326"/>
      <c r="AH755" s="326"/>
    </row>
    <row r="756" spans="1:34" ht="15.5" x14ac:dyDescent="0.35">
      <c r="A756" s="66"/>
      <c r="B756" s="1152"/>
      <c r="C756" s="1153"/>
      <c r="D756" s="1151" t="s">
        <v>1232</v>
      </c>
      <c r="E756" s="1153"/>
      <c r="F756" s="1153"/>
      <c r="G756" s="1149"/>
      <c r="H756" s="1149"/>
      <c r="I756" s="1149"/>
      <c r="J756" s="1149"/>
      <c r="K756" s="328"/>
      <c r="L756" s="614"/>
      <c r="M756" s="613"/>
      <c r="N756" s="251"/>
      <c r="O756" s="250"/>
      <c r="P756" s="250"/>
      <c r="Q756" s="250"/>
      <c r="R756" s="216"/>
      <c r="S756" s="216"/>
      <c r="T756" s="216"/>
      <c r="U756" s="216"/>
      <c r="V756" s="216"/>
      <c r="W756" s="216"/>
      <c r="X756" s="216"/>
      <c r="Y756" s="216"/>
      <c r="Z756" s="216"/>
      <c r="AA756" s="216"/>
      <c r="AB756" s="216"/>
      <c r="AC756" s="216"/>
      <c r="AE756" s="326"/>
      <c r="AF756" s="326"/>
      <c r="AG756" s="326"/>
      <c r="AH756" s="326"/>
    </row>
    <row r="757" spans="1:34" ht="15.5" x14ac:dyDescent="0.35">
      <c r="A757" s="66"/>
      <c r="B757" s="1152"/>
      <c r="C757" s="1153"/>
      <c r="D757" s="1153"/>
      <c r="E757" s="1153" t="s">
        <v>1233</v>
      </c>
      <c r="F757" s="1153"/>
      <c r="G757" s="1149"/>
      <c r="H757" s="1149"/>
      <c r="I757" s="1149"/>
      <c r="J757" s="1149"/>
      <c r="K757" s="328"/>
      <c r="L757" s="609">
        <v>0</v>
      </c>
      <c r="M757" s="609">
        <v>0</v>
      </c>
      <c r="N757" s="251"/>
      <c r="O757" s="250"/>
      <c r="P757" s="250"/>
      <c r="Q757" s="250"/>
      <c r="R757" s="216"/>
      <c r="S757" s="216"/>
      <c r="T757" s="216"/>
      <c r="U757" s="216"/>
      <c r="V757" s="216"/>
      <c r="W757" s="216"/>
      <c r="X757" s="216"/>
      <c r="Y757" s="216"/>
      <c r="Z757" s="216"/>
      <c r="AA757" s="216"/>
      <c r="AB757" s="216"/>
      <c r="AC757" s="216"/>
      <c r="AE757" s="326"/>
      <c r="AF757" s="326"/>
      <c r="AG757" s="326"/>
      <c r="AH757" s="326"/>
    </row>
    <row r="758" spans="1:34" ht="15.5" x14ac:dyDescent="0.35">
      <c r="A758" s="66"/>
      <c r="B758" s="1152"/>
      <c r="C758" s="1153"/>
      <c r="D758" s="1153"/>
      <c r="E758" s="1153" t="s">
        <v>1234</v>
      </c>
      <c r="F758" s="1153"/>
      <c r="G758" s="1149"/>
      <c r="H758" s="1149"/>
      <c r="I758" s="1149"/>
      <c r="J758" s="1149"/>
      <c r="K758" s="328"/>
      <c r="L758" s="609">
        <v>0</v>
      </c>
      <c r="M758" s="609">
        <v>0</v>
      </c>
      <c r="N758" s="251"/>
      <c r="O758" s="250"/>
      <c r="P758" s="250"/>
      <c r="Q758" s="250"/>
      <c r="R758" s="216"/>
      <c r="S758" s="216"/>
      <c r="T758" s="216"/>
      <c r="U758" s="216"/>
      <c r="V758" s="216"/>
      <c r="W758" s="216"/>
      <c r="X758" s="216"/>
      <c r="Y758" s="216"/>
      <c r="Z758" s="216"/>
      <c r="AA758" s="216"/>
      <c r="AB758" s="216"/>
      <c r="AC758" s="216"/>
      <c r="AE758" s="326"/>
      <c r="AF758" s="326"/>
      <c r="AG758" s="326"/>
      <c r="AH758" s="326"/>
    </row>
    <row r="759" spans="1:34" ht="15.5" x14ac:dyDescent="0.35">
      <c r="A759" s="66"/>
      <c r="B759" s="1152"/>
      <c r="C759" s="1153"/>
      <c r="D759" s="1153"/>
      <c r="E759" s="1153" t="s">
        <v>1675</v>
      </c>
      <c r="F759" s="1153"/>
      <c r="G759" s="1149"/>
      <c r="H759" s="1149"/>
      <c r="I759" s="1149"/>
      <c r="J759" s="1149"/>
      <c r="K759" s="328"/>
      <c r="L759" s="609"/>
      <c r="M759" s="609">
        <v>900000</v>
      </c>
      <c r="N759" s="251"/>
      <c r="O759" s="250"/>
      <c r="P759" s="250"/>
      <c r="Q759" s="250"/>
      <c r="R759" s="216"/>
      <c r="S759" s="216"/>
      <c r="T759" s="216"/>
      <c r="U759" s="216"/>
      <c r="V759" s="216"/>
      <c r="W759" s="216"/>
      <c r="X759" s="216"/>
      <c r="Y759" s="216"/>
      <c r="Z759" s="216"/>
      <c r="AA759" s="216"/>
      <c r="AB759" s="216"/>
      <c r="AC759" s="216"/>
      <c r="AE759" s="326"/>
      <c r="AF759" s="326"/>
      <c r="AG759" s="326"/>
      <c r="AH759" s="326"/>
    </row>
    <row r="760" spans="1:34" ht="15.5" x14ac:dyDescent="0.35">
      <c r="A760" s="66"/>
      <c r="B760" s="1152"/>
      <c r="C760" s="1153"/>
      <c r="D760" s="1153"/>
      <c r="E760" s="1153"/>
      <c r="F760" s="1151" t="s">
        <v>1235</v>
      </c>
      <c r="G760" s="1149"/>
      <c r="H760" s="1149"/>
      <c r="I760" s="1149"/>
      <c r="J760" s="1149"/>
      <c r="K760" s="328"/>
      <c r="L760" s="617">
        <f>SUM(L757:L759)</f>
        <v>0</v>
      </c>
      <c r="M760" s="616">
        <f>SUM(M757:M759)</f>
        <v>900000</v>
      </c>
      <c r="N760" s="251"/>
      <c r="O760" s="250"/>
      <c r="P760" s="250"/>
      <c r="Q760" s="250"/>
      <c r="R760" s="216"/>
      <c r="S760" s="216"/>
      <c r="T760" s="216"/>
      <c r="U760" s="216"/>
      <c r="V760" s="216"/>
      <c r="W760" s="216"/>
      <c r="X760" s="216"/>
      <c r="Y760" s="216"/>
      <c r="Z760" s="216"/>
      <c r="AA760" s="216"/>
      <c r="AB760" s="216"/>
      <c r="AC760" s="216"/>
      <c r="AE760" s="326"/>
      <c r="AF760" s="326"/>
      <c r="AG760" s="326"/>
      <c r="AH760" s="326"/>
    </row>
    <row r="761" spans="1:34" ht="15.5" x14ac:dyDescent="0.35">
      <c r="A761" s="66"/>
      <c r="B761" s="1152"/>
      <c r="C761" s="1153"/>
      <c r="D761" s="1151" t="s">
        <v>1236</v>
      </c>
      <c r="E761" s="1153"/>
      <c r="F761" s="1153"/>
      <c r="G761" s="1149"/>
      <c r="H761" s="1149"/>
      <c r="I761" s="1149"/>
      <c r="J761" s="1149"/>
      <c r="K761" s="328"/>
      <c r="L761" s="614"/>
      <c r="M761" s="613"/>
      <c r="N761" s="251"/>
      <c r="O761" s="250"/>
      <c r="P761" s="250"/>
      <c r="Q761" s="250"/>
      <c r="R761" s="216"/>
      <c r="S761" s="216"/>
      <c r="T761" s="216"/>
      <c r="U761" s="216"/>
      <c r="V761" s="216"/>
      <c r="W761" s="216"/>
      <c r="X761" s="216"/>
      <c r="Y761" s="216"/>
      <c r="Z761" s="216"/>
      <c r="AA761" s="216"/>
      <c r="AB761" s="216"/>
      <c r="AC761" s="216"/>
      <c r="AE761" s="326"/>
      <c r="AF761" s="326"/>
      <c r="AG761" s="326"/>
      <c r="AH761" s="326"/>
    </row>
    <row r="762" spans="1:34" ht="15.5" x14ac:dyDescent="0.35">
      <c r="A762" s="66"/>
      <c r="B762" s="1152"/>
      <c r="C762" s="1153"/>
      <c r="D762" s="1153"/>
      <c r="E762" s="1153" t="s">
        <v>251</v>
      </c>
      <c r="F762" s="1153"/>
      <c r="G762" s="1149"/>
      <c r="H762" s="1149"/>
      <c r="I762" s="1149"/>
      <c r="J762" s="1149"/>
      <c r="K762" s="328"/>
      <c r="L762" s="609">
        <v>0</v>
      </c>
      <c r="M762" s="609">
        <v>0</v>
      </c>
      <c r="N762" s="251"/>
      <c r="O762" s="250"/>
      <c r="P762" s="250"/>
      <c r="Q762" s="250"/>
      <c r="R762" s="216"/>
      <c r="S762" s="216"/>
      <c r="T762" s="216"/>
      <c r="U762" s="216"/>
      <c r="V762" s="216"/>
      <c r="W762" s="216"/>
      <c r="X762" s="216"/>
      <c r="Y762" s="216"/>
      <c r="Z762" s="216"/>
      <c r="AA762" s="216"/>
      <c r="AB762" s="216"/>
      <c r="AC762" s="216"/>
      <c r="AE762" s="326"/>
      <c r="AF762" s="326"/>
      <c r="AG762" s="326"/>
      <c r="AH762" s="326"/>
    </row>
    <row r="763" spans="1:34" ht="15.5" x14ac:dyDescent="0.35">
      <c r="A763" s="66"/>
      <c r="B763" s="1152"/>
      <c r="C763" s="1153"/>
      <c r="D763" s="1153"/>
      <c r="E763" s="1153"/>
      <c r="F763" s="1151" t="s">
        <v>1237</v>
      </c>
      <c r="G763" s="1149"/>
      <c r="H763" s="1149"/>
      <c r="I763" s="1149"/>
      <c r="J763" s="1149"/>
      <c r="K763" s="328"/>
      <c r="L763" s="618">
        <f>SUM(L762)</f>
        <v>0</v>
      </c>
      <c r="M763" s="616">
        <f>SUM(M762)</f>
        <v>0</v>
      </c>
      <c r="N763" s="251"/>
      <c r="O763" s="250"/>
      <c r="P763" s="250"/>
      <c r="Q763" s="250"/>
      <c r="R763" s="216"/>
      <c r="S763" s="216"/>
      <c r="T763" s="216"/>
      <c r="U763" s="216"/>
      <c r="V763" s="216"/>
      <c r="W763" s="216"/>
      <c r="X763" s="216"/>
      <c r="Y763" s="216"/>
      <c r="Z763" s="216"/>
      <c r="AA763" s="216"/>
      <c r="AB763" s="216"/>
      <c r="AC763" s="216"/>
      <c r="AE763" s="326"/>
      <c r="AF763" s="326"/>
      <c r="AG763" s="326"/>
      <c r="AH763" s="326"/>
    </row>
    <row r="764" spans="1:34" ht="15.5" x14ac:dyDescent="0.35">
      <c r="A764" s="66"/>
      <c r="B764" s="1152"/>
      <c r="C764" s="1153"/>
      <c r="D764" s="1153"/>
      <c r="E764" s="1153"/>
      <c r="F764" s="1151" t="s">
        <v>1271</v>
      </c>
      <c r="G764" s="1149"/>
      <c r="H764" s="1149"/>
      <c r="I764" s="1149"/>
      <c r="J764" s="1149"/>
      <c r="K764" s="328"/>
      <c r="L764" s="619">
        <f>L755+L760+L763</f>
        <v>0</v>
      </c>
      <c r="M764" s="620">
        <f>M755+M760+M763</f>
        <v>900000</v>
      </c>
      <c r="N764" s="251"/>
      <c r="O764" s="250"/>
      <c r="P764" s="250"/>
      <c r="Q764" s="250"/>
      <c r="R764" s="216"/>
      <c r="S764" s="216"/>
      <c r="T764" s="216"/>
      <c r="U764" s="216"/>
      <c r="V764" s="216"/>
      <c r="W764" s="216"/>
      <c r="X764" s="216"/>
      <c r="Y764" s="216"/>
      <c r="Z764" s="216"/>
      <c r="AA764" s="216"/>
      <c r="AB764" s="216"/>
      <c r="AC764" s="216"/>
      <c r="AE764" s="326"/>
      <c r="AF764" s="326"/>
      <c r="AG764" s="326"/>
      <c r="AH764" s="326"/>
    </row>
    <row r="765" spans="1:34" ht="15.5" x14ac:dyDescent="0.35">
      <c r="A765" s="66"/>
      <c r="B765" s="1152"/>
      <c r="C765" s="1151" t="s">
        <v>1238</v>
      </c>
      <c r="D765" s="1153"/>
      <c r="E765" s="1153"/>
      <c r="F765" s="1153"/>
      <c r="G765" s="1149"/>
      <c r="H765" s="1149"/>
      <c r="I765" s="1149"/>
      <c r="J765" s="1149"/>
      <c r="K765" s="328"/>
      <c r="L765" s="614"/>
      <c r="M765" s="613"/>
      <c r="N765" s="251"/>
      <c r="O765" s="250"/>
      <c r="P765" s="250"/>
      <c r="Q765" s="250"/>
      <c r="R765" s="216"/>
      <c r="S765" s="216"/>
      <c r="T765" s="216"/>
      <c r="U765" s="216"/>
      <c r="V765" s="216"/>
      <c r="W765" s="216"/>
      <c r="X765" s="216"/>
      <c r="Y765" s="216"/>
      <c r="Z765" s="216"/>
      <c r="AA765" s="216"/>
      <c r="AB765" s="216"/>
      <c r="AC765" s="216"/>
      <c r="AE765" s="326"/>
      <c r="AF765" s="326"/>
      <c r="AG765" s="326"/>
      <c r="AH765" s="326"/>
    </row>
    <row r="766" spans="1:34" ht="15.5" x14ac:dyDescent="0.35">
      <c r="A766" s="66"/>
      <c r="B766" s="1152"/>
      <c r="C766" s="1153"/>
      <c r="D766" s="1153"/>
      <c r="E766" s="1153" t="s">
        <v>1239</v>
      </c>
      <c r="F766" s="1153"/>
      <c r="G766" s="1149"/>
      <c r="H766" s="1149"/>
      <c r="I766" s="1149"/>
      <c r="J766" s="1149"/>
      <c r="K766" s="328"/>
      <c r="L766" s="609">
        <v>3316366778</v>
      </c>
      <c r="M766" s="609">
        <v>3415029601</v>
      </c>
      <c r="N766" s="251"/>
      <c r="O766" s="250"/>
      <c r="P766" s="250"/>
      <c r="Q766" s="250"/>
      <c r="R766" s="216"/>
      <c r="S766" s="216"/>
      <c r="T766" s="216"/>
      <c r="U766" s="216"/>
      <c r="V766" s="216"/>
      <c r="W766" s="216"/>
      <c r="X766" s="216"/>
      <c r="Y766" s="216"/>
      <c r="Z766" s="216"/>
      <c r="AA766" s="216"/>
      <c r="AB766" s="216"/>
      <c r="AC766" s="216"/>
      <c r="AE766" s="326"/>
      <c r="AF766" s="326"/>
      <c r="AG766" s="326"/>
      <c r="AH766" s="326"/>
    </row>
    <row r="767" spans="1:34" ht="15.5" x14ac:dyDescent="0.35">
      <c r="A767" s="66"/>
      <c r="B767" s="1152"/>
      <c r="C767" s="1153"/>
      <c r="D767" s="1153"/>
      <c r="E767" s="1158" t="s">
        <v>1240</v>
      </c>
      <c r="F767" s="1159"/>
      <c r="G767" s="1149"/>
      <c r="H767" s="1149"/>
      <c r="I767" s="1149"/>
      <c r="J767" s="1149"/>
      <c r="K767" s="328"/>
      <c r="L767" s="609">
        <v>45186900</v>
      </c>
      <c r="M767" s="609">
        <v>37104560</v>
      </c>
      <c r="N767" s="251"/>
      <c r="O767" s="250"/>
      <c r="P767" s="250"/>
      <c r="Q767" s="250"/>
      <c r="R767" s="216"/>
      <c r="S767" s="216"/>
      <c r="T767" s="216"/>
      <c r="U767" s="216"/>
      <c r="V767" s="216"/>
      <c r="W767" s="216"/>
      <c r="X767" s="216"/>
      <c r="Y767" s="216"/>
      <c r="Z767" s="216"/>
      <c r="AA767" s="216"/>
      <c r="AB767" s="216"/>
      <c r="AC767" s="216"/>
      <c r="AE767" s="326"/>
      <c r="AF767" s="326"/>
      <c r="AG767" s="326"/>
      <c r="AH767" s="326"/>
    </row>
    <row r="768" spans="1:34" ht="15.5" x14ac:dyDescent="0.35">
      <c r="A768" s="66"/>
      <c r="B768" s="1152"/>
      <c r="C768" s="1153"/>
      <c r="D768" s="1153"/>
      <c r="E768" s="1158" t="s">
        <v>1916</v>
      </c>
      <c r="F768" s="1159"/>
      <c r="G768" s="1149"/>
      <c r="H768" s="1149"/>
      <c r="I768" s="1149"/>
      <c r="J768" s="1149"/>
      <c r="K768" s="328"/>
      <c r="L768" s="609">
        <v>2632684595</v>
      </c>
      <c r="M768" s="609">
        <v>2935678600</v>
      </c>
      <c r="N768" s="251"/>
      <c r="O768" s="250"/>
      <c r="P768" s="250"/>
      <c r="Q768" s="250"/>
      <c r="R768" s="216"/>
      <c r="S768" s="216"/>
      <c r="T768" s="216"/>
      <c r="U768" s="216"/>
      <c r="V768" s="216"/>
      <c r="W768" s="216"/>
      <c r="X768" s="216"/>
      <c r="Y768" s="216"/>
      <c r="Z768" s="216"/>
      <c r="AA768" s="216"/>
      <c r="AB768" s="216"/>
      <c r="AC768" s="216"/>
      <c r="AE768" s="326"/>
      <c r="AF768" s="326"/>
      <c r="AG768" s="326"/>
      <c r="AH768" s="326"/>
    </row>
    <row r="769" spans="1:34" ht="15.5" x14ac:dyDescent="0.35">
      <c r="A769" s="66"/>
      <c r="B769" s="1152"/>
      <c r="C769" s="1153"/>
      <c r="D769" s="1153"/>
      <c r="E769" s="1158" t="s">
        <v>1241</v>
      </c>
      <c r="F769" s="1159"/>
      <c r="G769" s="1149"/>
      <c r="H769" s="1149"/>
      <c r="I769" s="1149"/>
      <c r="J769" s="1149"/>
      <c r="K769" s="328"/>
      <c r="L769" s="609">
        <v>629003150</v>
      </c>
      <c r="M769" s="609">
        <v>730887140</v>
      </c>
      <c r="N769" s="251"/>
      <c r="O769" s="250"/>
      <c r="P769" s="250"/>
      <c r="Q769" s="250"/>
      <c r="R769" s="216"/>
      <c r="S769" s="216"/>
      <c r="T769" s="216"/>
      <c r="U769" s="216"/>
      <c r="V769" s="216"/>
      <c r="W769" s="216"/>
      <c r="X769" s="216"/>
      <c r="Y769" s="216"/>
      <c r="Z769" s="216"/>
      <c r="AA769" s="216"/>
      <c r="AB769" s="216"/>
      <c r="AC769" s="216"/>
      <c r="AE769" s="326"/>
      <c r="AF769" s="326"/>
      <c r="AG769" s="326"/>
      <c r="AH769" s="326"/>
    </row>
    <row r="770" spans="1:34" ht="15.5" x14ac:dyDescent="0.35">
      <c r="A770" s="66"/>
      <c r="B770" s="1152"/>
      <c r="C770" s="1153"/>
      <c r="D770" s="1153"/>
      <c r="E770" s="1158" t="s">
        <v>1242</v>
      </c>
      <c r="F770" s="1159"/>
      <c r="G770" s="1149"/>
      <c r="H770" s="1149"/>
      <c r="I770" s="1149"/>
      <c r="J770" s="1149"/>
      <c r="K770" s="328"/>
      <c r="L770" s="609">
        <v>2755409250</v>
      </c>
      <c r="M770" s="609">
        <v>2786385900</v>
      </c>
      <c r="N770" s="251"/>
      <c r="O770" s="250"/>
      <c r="P770" s="250"/>
      <c r="Q770" s="250"/>
      <c r="R770" s="216"/>
      <c r="S770" s="216"/>
      <c r="T770" s="216"/>
      <c r="U770" s="216"/>
      <c r="V770" s="216"/>
      <c r="W770" s="216"/>
      <c r="X770" s="216"/>
      <c r="Y770" s="216"/>
      <c r="Z770" s="216"/>
      <c r="AA770" s="216"/>
      <c r="AB770" s="216"/>
      <c r="AC770" s="216"/>
      <c r="AE770" s="326"/>
      <c r="AF770" s="326"/>
      <c r="AG770" s="326"/>
      <c r="AH770" s="326"/>
    </row>
    <row r="771" spans="1:34" ht="15.5" x14ac:dyDescent="0.35">
      <c r="A771" s="66"/>
      <c r="B771" s="1152"/>
      <c r="C771" s="1153"/>
      <c r="D771" s="1153"/>
      <c r="E771" s="1158" t="s">
        <v>1243</v>
      </c>
      <c r="F771" s="1159"/>
      <c r="G771" s="1149"/>
      <c r="H771" s="1149"/>
      <c r="I771" s="1149"/>
      <c r="J771" s="1149"/>
      <c r="K771" s="328"/>
      <c r="L771" s="609">
        <v>576901000</v>
      </c>
      <c r="M771" s="609">
        <v>230190000</v>
      </c>
      <c r="N771" s="251"/>
      <c r="O771" s="250"/>
      <c r="P771" s="250"/>
      <c r="Q771" s="250"/>
      <c r="R771" s="216"/>
      <c r="S771" s="216"/>
      <c r="T771" s="216"/>
      <c r="U771" s="216"/>
      <c r="V771" s="216"/>
      <c r="W771" s="216"/>
      <c r="X771" s="216"/>
      <c r="Y771" s="216"/>
      <c r="Z771" s="216"/>
      <c r="AA771" s="216"/>
      <c r="AB771" s="216"/>
      <c r="AC771" s="216"/>
      <c r="AE771" s="326"/>
      <c r="AF771" s="326"/>
      <c r="AG771" s="326"/>
      <c r="AH771" s="326"/>
    </row>
    <row r="772" spans="1:34" ht="15.5" x14ac:dyDescent="0.35">
      <c r="A772" s="66"/>
      <c r="B772" s="1152"/>
      <c r="C772" s="1153"/>
      <c r="D772" s="1153"/>
      <c r="E772" s="1158" t="s">
        <v>1244</v>
      </c>
      <c r="F772" s="1159"/>
      <c r="G772" s="1149"/>
      <c r="H772" s="1149"/>
      <c r="I772" s="1149"/>
      <c r="J772" s="1149"/>
      <c r="K772" s="328"/>
      <c r="L772" s="609"/>
      <c r="M772" s="609"/>
      <c r="N772" s="251"/>
      <c r="O772" s="250"/>
      <c r="P772" s="250"/>
      <c r="Q772" s="250"/>
      <c r="R772" s="216"/>
      <c r="S772" s="216"/>
      <c r="T772" s="216"/>
      <c r="U772" s="216"/>
      <c r="V772" s="216"/>
      <c r="W772" s="216"/>
      <c r="X772" s="216"/>
      <c r="Y772" s="216"/>
      <c r="Z772" s="216"/>
      <c r="AA772" s="216"/>
      <c r="AB772" s="216"/>
      <c r="AC772" s="216"/>
      <c r="AE772" s="326"/>
      <c r="AF772" s="326"/>
      <c r="AG772" s="326"/>
      <c r="AH772" s="326"/>
    </row>
    <row r="773" spans="1:34" ht="15.5" x14ac:dyDescent="0.35">
      <c r="A773" s="66"/>
      <c r="B773" s="1152"/>
      <c r="C773" s="1153"/>
      <c r="D773" s="1153"/>
      <c r="E773" s="1158" t="s">
        <v>1245</v>
      </c>
      <c r="F773" s="1159"/>
      <c r="G773" s="1149"/>
      <c r="H773" s="1149"/>
      <c r="I773" s="1149"/>
      <c r="J773" s="1149"/>
      <c r="K773" s="328"/>
      <c r="L773" s="609"/>
      <c r="M773" s="609"/>
      <c r="N773" s="251"/>
      <c r="O773" s="250"/>
      <c r="P773" s="250"/>
      <c r="Q773" s="250"/>
      <c r="R773" s="216"/>
      <c r="S773" s="216"/>
      <c r="T773" s="216"/>
      <c r="U773" s="216"/>
      <c r="V773" s="216"/>
      <c r="W773" s="216"/>
      <c r="X773" s="216"/>
      <c r="Y773" s="216"/>
      <c r="Z773" s="216"/>
      <c r="AA773" s="216"/>
      <c r="AB773" s="216"/>
      <c r="AC773" s="216"/>
      <c r="AE773" s="326"/>
      <c r="AF773" s="326"/>
      <c r="AG773" s="326"/>
      <c r="AH773" s="326"/>
    </row>
    <row r="774" spans="1:34" ht="15.5" x14ac:dyDescent="0.35">
      <c r="A774" s="66"/>
      <c r="B774" s="1152"/>
      <c r="C774" s="1153"/>
      <c r="D774" s="1153"/>
      <c r="E774" s="1158" t="s">
        <v>1246</v>
      </c>
      <c r="F774" s="1159"/>
      <c r="G774" s="1149"/>
      <c r="H774" s="1149"/>
      <c r="I774" s="1149"/>
      <c r="J774" s="1149"/>
      <c r="K774" s="328"/>
      <c r="L774" s="609"/>
      <c r="M774" s="609"/>
      <c r="N774" s="251"/>
      <c r="O774" s="250"/>
      <c r="P774" s="250"/>
      <c r="Q774" s="250"/>
      <c r="R774" s="216"/>
      <c r="S774" s="216"/>
      <c r="T774" s="216"/>
      <c r="U774" s="216"/>
      <c r="V774" s="216"/>
      <c r="W774" s="216"/>
      <c r="X774" s="216"/>
      <c r="Y774" s="216"/>
      <c r="Z774" s="216"/>
      <c r="AA774" s="216"/>
      <c r="AB774" s="216"/>
      <c r="AC774" s="216"/>
      <c r="AE774" s="326"/>
      <c r="AF774" s="326"/>
      <c r="AG774" s="326"/>
      <c r="AH774" s="326"/>
    </row>
    <row r="775" spans="1:34" ht="15.5" x14ac:dyDescent="0.35">
      <c r="A775" s="66"/>
      <c r="B775" s="1152"/>
      <c r="C775" s="1153"/>
      <c r="D775" s="1153"/>
      <c r="E775" s="1158" t="s">
        <v>1247</v>
      </c>
      <c r="F775" s="1159"/>
      <c r="G775" s="1149"/>
      <c r="H775" s="1149"/>
      <c r="I775" s="1149"/>
      <c r="J775" s="1149"/>
      <c r="K775" s="328"/>
      <c r="L775" s="609"/>
      <c r="M775" s="609"/>
      <c r="N775" s="251"/>
      <c r="O775" s="250"/>
      <c r="P775" s="250"/>
      <c r="Q775" s="250"/>
      <c r="R775" s="216"/>
      <c r="S775" s="216"/>
      <c r="T775" s="216"/>
      <c r="U775" s="216"/>
      <c r="V775" s="216"/>
      <c r="W775" s="216"/>
      <c r="X775" s="216"/>
      <c r="Y775" s="216"/>
      <c r="Z775" s="216"/>
      <c r="AA775" s="216"/>
      <c r="AB775" s="216"/>
      <c r="AC775" s="216"/>
      <c r="AE775" s="326"/>
      <c r="AF775" s="326"/>
      <c r="AG775" s="326"/>
      <c r="AH775" s="326"/>
    </row>
    <row r="776" spans="1:34" ht="15.5" x14ac:dyDescent="0.35">
      <c r="A776" s="66"/>
      <c r="B776" s="1152"/>
      <c r="C776" s="1153"/>
      <c r="D776" s="1153"/>
      <c r="E776" s="1158" t="s">
        <v>1248</v>
      </c>
      <c r="F776" s="1159"/>
      <c r="G776" s="1149"/>
      <c r="H776" s="1149"/>
      <c r="I776" s="1149"/>
      <c r="J776" s="1149"/>
      <c r="K776" s="328"/>
      <c r="L776" s="609">
        <v>902340970</v>
      </c>
      <c r="M776" s="609">
        <v>332803461</v>
      </c>
      <c r="N776" s="251"/>
      <c r="O776" s="250"/>
      <c r="P776" s="250"/>
      <c r="Q776" s="250"/>
      <c r="R776" s="216"/>
      <c r="S776" s="216"/>
      <c r="T776" s="216"/>
      <c r="U776" s="216"/>
      <c r="V776" s="216"/>
      <c r="W776" s="216"/>
      <c r="X776" s="216"/>
      <c r="Y776" s="216"/>
      <c r="Z776" s="216"/>
      <c r="AA776" s="216"/>
      <c r="AB776" s="216"/>
      <c r="AC776" s="216"/>
      <c r="AE776" s="326"/>
      <c r="AF776" s="326"/>
      <c r="AG776" s="326"/>
      <c r="AH776" s="326"/>
    </row>
    <row r="777" spans="1:34" ht="15.5" x14ac:dyDescent="0.35">
      <c r="A777" s="66"/>
      <c r="B777" s="1152"/>
      <c r="C777" s="1153"/>
      <c r="D777" s="1153"/>
      <c r="E777" s="1158" t="s">
        <v>1249</v>
      </c>
      <c r="F777" s="1159"/>
      <c r="G777" s="1149"/>
      <c r="H777" s="1149"/>
      <c r="I777" s="1149"/>
      <c r="J777" s="1149"/>
      <c r="K777" s="328"/>
      <c r="L777" s="609"/>
      <c r="M777" s="609"/>
      <c r="N777" s="251"/>
      <c r="O777" s="250"/>
      <c r="P777" s="250"/>
      <c r="Q777" s="250"/>
      <c r="R777" s="216"/>
      <c r="S777" s="216"/>
      <c r="T777" s="216"/>
      <c r="U777" s="216"/>
      <c r="V777" s="216"/>
      <c r="W777" s="216"/>
      <c r="X777" s="216"/>
      <c r="Y777" s="216"/>
      <c r="Z777" s="216"/>
      <c r="AA777" s="216"/>
      <c r="AB777" s="216"/>
      <c r="AC777" s="216"/>
      <c r="AE777" s="326"/>
      <c r="AF777" s="326"/>
      <c r="AG777" s="326"/>
      <c r="AH777" s="326"/>
    </row>
    <row r="778" spans="1:34" ht="15.5" x14ac:dyDescent="0.35">
      <c r="A778" s="66"/>
      <c r="B778" s="1152"/>
      <c r="C778" s="1153"/>
      <c r="D778" s="1153"/>
      <c r="E778" s="1158" t="s">
        <v>1250</v>
      </c>
      <c r="F778" s="1159"/>
      <c r="G778" s="1149"/>
      <c r="H778" s="1149"/>
      <c r="I778" s="1149"/>
      <c r="J778" s="1149"/>
      <c r="K778" s="328"/>
      <c r="L778" s="609"/>
      <c r="M778" s="609"/>
      <c r="N778" s="251"/>
      <c r="O778" s="250"/>
      <c r="P778" s="250"/>
      <c r="Q778" s="250"/>
      <c r="R778" s="216"/>
      <c r="S778" s="216"/>
      <c r="T778" s="216"/>
      <c r="U778" s="216"/>
      <c r="V778" s="216"/>
      <c r="W778" s="216"/>
      <c r="X778" s="216"/>
      <c r="Y778" s="216"/>
      <c r="Z778" s="216"/>
      <c r="AA778" s="216"/>
      <c r="AB778" s="216"/>
      <c r="AC778" s="216"/>
      <c r="AE778" s="326"/>
      <c r="AF778" s="326"/>
      <c r="AG778" s="326"/>
      <c r="AH778" s="326"/>
    </row>
    <row r="779" spans="1:34" ht="15.5" x14ac:dyDescent="0.35">
      <c r="A779" s="66"/>
      <c r="B779" s="1152"/>
      <c r="C779" s="1153"/>
      <c r="D779" s="1153"/>
      <c r="E779" s="1158" t="s">
        <v>1251</v>
      </c>
      <c r="F779" s="1159"/>
      <c r="G779" s="1149"/>
      <c r="H779" s="1149"/>
      <c r="I779" s="1149"/>
      <c r="J779" s="1149"/>
      <c r="K779" s="328"/>
      <c r="L779" s="609"/>
      <c r="M779" s="609"/>
      <c r="N779" s="251"/>
      <c r="O779" s="250"/>
      <c r="P779" s="250"/>
      <c r="Q779" s="250"/>
      <c r="R779" s="216"/>
      <c r="S779" s="216"/>
      <c r="T779" s="216"/>
      <c r="U779" s="216"/>
      <c r="V779" s="216"/>
      <c r="W779" s="216"/>
      <c r="X779" s="216"/>
      <c r="Y779" s="216"/>
      <c r="Z779" s="216"/>
      <c r="AA779" s="216"/>
      <c r="AB779" s="216"/>
      <c r="AC779" s="216"/>
      <c r="AE779" s="326"/>
      <c r="AF779" s="326"/>
      <c r="AG779" s="326"/>
      <c r="AH779" s="326"/>
    </row>
    <row r="780" spans="1:34" ht="15.5" x14ac:dyDescent="0.35">
      <c r="A780" s="66"/>
      <c r="B780" s="1152"/>
      <c r="C780" s="1153"/>
      <c r="D780" s="1153"/>
      <c r="E780" s="1156"/>
      <c r="F780" s="1157" t="s">
        <v>1252</v>
      </c>
      <c r="G780" s="1149"/>
      <c r="H780" s="1149"/>
      <c r="I780" s="1149"/>
      <c r="J780" s="1149"/>
      <c r="K780" s="328"/>
      <c r="L780" s="621">
        <f>SUM(L766:L779)</f>
        <v>10857892643</v>
      </c>
      <c r="M780" s="622">
        <f>SUM(M766:M779)</f>
        <v>10468079262</v>
      </c>
      <c r="N780" s="251"/>
      <c r="O780" s="250"/>
      <c r="P780" s="250"/>
      <c r="Q780" s="250"/>
      <c r="R780" s="216"/>
      <c r="S780" s="216"/>
      <c r="T780" s="216"/>
      <c r="U780" s="216"/>
      <c r="V780" s="216"/>
      <c r="W780" s="216"/>
      <c r="X780" s="216"/>
      <c r="Y780" s="216"/>
      <c r="Z780" s="216"/>
      <c r="AA780" s="216"/>
      <c r="AB780" s="216"/>
      <c r="AC780" s="216"/>
      <c r="AE780" s="326"/>
      <c r="AF780" s="326"/>
      <c r="AG780" s="326"/>
      <c r="AH780" s="326"/>
    </row>
    <row r="781" spans="1:34" ht="15.5" x14ac:dyDescent="0.35">
      <c r="A781" s="66"/>
      <c r="B781" s="1152"/>
      <c r="C781" s="1153"/>
      <c r="D781" s="1153"/>
      <c r="E781" s="1153"/>
      <c r="F781" s="1157" t="s">
        <v>1253</v>
      </c>
      <c r="G781" s="1149"/>
      <c r="H781" s="1149"/>
      <c r="I781" s="1149"/>
      <c r="J781" s="1149"/>
      <c r="K781" s="328"/>
      <c r="L781" s="619">
        <f>L764-L780</f>
        <v>-10857892643</v>
      </c>
      <c r="M781" s="619">
        <f>M764-M780</f>
        <v>-10467179262</v>
      </c>
      <c r="N781" s="251"/>
      <c r="O781" s="250"/>
      <c r="P781" s="250"/>
      <c r="Q781" s="250"/>
      <c r="R781" s="216"/>
      <c r="S781" s="216"/>
      <c r="T781" s="216"/>
      <c r="U781" s="216"/>
      <c r="V781" s="216"/>
      <c r="W781" s="216"/>
      <c r="X781" s="216"/>
      <c r="Y781" s="216"/>
      <c r="Z781" s="216"/>
      <c r="AA781" s="216"/>
      <c r="AB781" s="216"/>
      <c r="AC781" s="216"/>
      <c r="AE781" s="326"/>
      <c r="AF781" s="326"/>
      <c r="AG781" s="326"/>
      <c r="AH781" s="326"/>
    </row>
    <row r="782" spans="1:34" ht="15.5" x14ac:dyDescent="0.35">
      <c r="A782" s="66"/>
      <c r="B782" s="1160" t="s">
        <v>1254</v>
      </c>
      <c r="C782" s="1153"/>
      <c r="D782" s="1153"/>
      <c r="E782" s="1153"/>
      <c r="F782" s="1153"/>
      <c r="G782" s="1149"/>
      <c r="H782" s="1149"/>
      <c r="I782" s="1149"/>
      <c r="J782" s="1149"/>
      <c r="K782" s="328"/>
      <c r="L782" s="614"/>
      <c r="M782" s="613"/>
      <c r="N782" s="251"/>
      <c r="O782" s="250"/>
      <c r="P782" s="250"/>
      <c r="Q782" s="250"/>
      <c r="R782" s="216"/>
      <c r="S782" s="216"/>
      <c r="T782" s="216"/>
      <c r="U782" s="216"/>
      <c r="V782" s="216"/>
      <c r="W782" s="216"/>
      <c r="X782" s="216"/>
      <c r="Y782" s="216"/>
      <c r="Z782" s="216"/>
      <c r="AA782" s="216"/>
      <c r="AB782" s="216"/>
      <c r="AC782" s="216"/>
      <c r="AE782" s="326"/>
      <c r="AF782" s="326"/>
      <c r="AG782" s="326"/>
      <c r="AH782" s="326"/>
    </row>
    <row r="783" spans="1:34" ht="15.5" x14ac:dyDescent="0.35">
      <c r="A783" s="66"/>
      <c r="B783" s="1152"/>
      <c r="C783" s="1153"/>
      <c r="D783" s="1151" t="s">
        <v>1272</v>
      </c>
      <c r="E783" s="1153"/>
      <c r="F783" s="1153"/>
      <c r="G783" s="1149"/>
      <c r="H783" s="1149"/>
      <c r="I783" s="1149"/>
      <c r="J783" s="1149"/>
      <c r="K783" s="328"/>
      <c r="L783" s="614"/>
      <c r="M783" s="613"/>
      <c r="N783" s="251"/>
      <c r="O783" s="250"/>
      <c r="P783" s="250"/>
      <c r="Q783" s="250"/>
      <c r="R783" s="216"/>
      <c r="S783" s="216"/>
      <c r="T783" s="216"/>
      <c r="U783" s="216"/>
      <c r="V783" s="216"/>
      <c r="W783" s="216"/>
      <c r="X783" s="216"/>
      <c r="Y783" s="216"/>
      <c r="Z783" s="216"/>
      <c r="AA783" s="216"/>
      <c r="AB783" s="216"/>
      <c r="AC783" s="216"/>
      <c r="AE783" s="326"/>
      <c r="AF783" s="326"/>
      <c r="AG783" s="326"/>
      <c r="AH783" s="326"/>
    </row>
    <row r="784" spans="1:34" ht="15.5" x14ac:dyDescent="0.35">
      <c r="A784" s="66"/>
      <c r="B784" s="1152"/>
      <c r="C784" s="1153"/>
      <c r="D784" s="1153"/>
      <c r="E784" s="1153" t="s">
        <v>1255</v>
      </c>
      <c r="F784" s="1153"/>
      <c r="G784" s="1149"/>
      <c r="H784" s="1149"/>
      <c r="I784" s="1149"/>
      <c r="J784" s="1149"/>
      <c r="K784" s="328"/>
      <c r="L784" s="609">
        <v>1799999</v>
      </c>
      <c r="M784" s="609">
        <v>48000000</v>
      </c>
      <c r="N784" s="251"/>
      <c r="O784" s="250"/>
      <c r="P784" s="250"/>
      <c r="Q784" s="250"/>
      <c r="R784" s="216"/>
      <c r="S784" s="216"/>
      <c r="T784" s="216"/>
      <c r="U784" s="216"/>
      <c r="V784" s="216"/>
      <c r="W784" s="216"/>
      <c r="X784" s="216"/>
      <c r="Y784" s="216"/>
      <c r="Z784" s="216"/>
      <c r="AA784" s="216"/>
      <c r="AB784" s="216"/>
      <c r="AC784" s="216"/>
      <c r="AE784" s="326"/>
      <c r="AF784" s="326"/>
      <c r="AG784" s="326"/>
      <c r="AH784" s="326"/>
    </row>
    <row r="785" spans="1:34" ht="15.5" x14ac:dyDescent="0.35">
      <c r="A785" s="66"/>
      <c r="B785" s="1152"/>
      <c r="C785" s="1153"/>
      <c r="D785" s="1153"/>
      <c r="E785" s="1153" t="s">
        <v>2364</v>
      </c>
      <c r="F785" s="1153"/>
      <c r="G785" s="1149"/>
      <c r="H785" s="1149"/>
      <c r="I785" s="1149"/>
      <c r="J785" s="1149"/>
      <c r="K785" s="328"/>
      <c r="L785" s="1463"/>
      <c r="M785" s="609"/>
      <c r="N785" s="251"/>
      <c r="O785" s="250"/>
      <c r="P785" s="250"/>
      <c r="Q785" s="250"/>
      <c r="R785" s="216"/>
      <c r="S785" s="216"/>
      <c r="T785" s="216"/>
      <c r="U785" s="216"/>
      <c r="V785" s="216"/>
      <c r="W785" s="216"/>
      <c r="X785" s="216"/>
      <c r="Y785" s="216"/>
      <c r="Z785" s="216"/>
      <c r="AA785" s="216"/>
      <c r="AB785" s="216"/>
      <c r="AC785" s="216"/>
      <c r="AE785" s="1450"/>
      <c r="AF785" s="1450"/>
      <c r="AG785" s="1450"/>
      <c r="AH785" s="1450"/>
    </row>
    <row r="786" spans="1:34" ht="15.5" x14ac:dyDescent="0.35">
      <c r="A786" s="66"/>
      <c r="B786" s="1152"/>
      <c r="C786" s="1153"/>
      <c r="D786" s="1153"/>
      <c r="E786" s="1153" t="s">
        <v>1256</v>
      </c>
      <c r="F786" s="1153"/>
      <c r="G786" s="1149"/>
      <c r="H786" s="1149"/>
      <c r="I786" s="1149"/>
      <c r="J786" s="1149"/>
      <c r="K786" s="328"/>
      <c r="L786" s="611"/>
      <c r="M786" s="611">
        <v>-2837313</v>
      </c>
      <c r="N786" s="251"/>
      <c r="O786" s="250"/>
      <c r="P786" s="250"/>
      <c r="Q786" s="250"/>
      <c r="R786" s="216"/>
      <c r="S786" s="216"/>
      <c r="T786" s="216"/>
      <c r="U786" s="216"/>
      <c r="V786" s="216"/>
      <c r="W786" s="216"/>
      <c r="X786" s="216"/>
      <c r="Y786" s="216"/>
      <c r="Z786" s="216"/>
      <c r="AA786" s="216"/>
      <c r="AB786" s="216"/>
      <c r="AC786" s="216"/>
      <c r="AE786" s="326"/>
      <c r="AF786" s="326"/>
      <c r="AG786" s="326"/>
      <c r="AH786" s="326"/>
    </row>
    <row r="787" spans="1:34" ht="15.5" x14ac:dyDescent="0.35">
      <c r="A787" s="66"/>
      <c r="B787" s="1150"/>
      <c r="C787" s="1151"/>
      <c r="D787" s="1151"/>
      <c r="E787" s="1151"/>
      <c r="F787" s="1151" t="s">
        <v>1257</v>
      </c>
      <c r="G787" s="1149"/>
      <c r="H787" s="1149"/>
      <c r="I787" s="1149"/>
      <c r="J787" s="1149"/>
      <c r="K787" s="328"/>
      <c r="L787" s="623">
        <f>SUM(L784:L786)</f>
        <v>1799999</v>
      </c>
      <c r="M787" s="624">
        <f>SUM(M784:M786)</f>
        <v>45162687</v>
      </c>
      <c r="N787" s="251"/>
      <c r="O787" s="250"/>
      <c r="P787" s="250"/>
      <c r="Q787" s="250"/>
      <c r="R787" s="216"/>
      <c r="S787" s="216"/>
      <c r="T787" s="216"/>
      <c r="U787" s="216"/>
      <c r="V787" s="216"/>
      <c r="W787" s="216"/>
      <c r="X787" s="216"/>
      <c r="Y787" s="216"/>
      <c r="Z787" s="216"/>
      <c r="AA787" s="216"/>
      <c r="AB787" s="216"/>
      <c r="AC787" s="216"/>
      <c r="AE787" s="326"/>
      <c r="AF787" s="326"/>
      <c r="AG787" s="326"/>
      <c r="AH787" s="326"/>
    </row>
    <row r="788" spans="1:34" ht="15.5" x14ac:dyDescent="0.35">
      <c r="A788" s="66"/>
      <c r="B788" s="1161"/>
      <c r="C788" s="1162"/>
      <c r="D788" s="1157" t="s">
        <v>1258</v>
      </c>
      <c r="E788" s="1163"/>
      <c r="F788" s="1163"/>
      <c r="G788" s="1149"/>
      <c r="H788" s="1149"/>
      <c r="I788" s="1149"/>
      <c r="J788" s="1149"/>
      <c r="K788" s="328"/>
      <c r="L788" s="625"/>
      <c r="M788" s="626"/>
      <c r="N788" s="251"/>
      <c r="O788" s="250"/>
      <c r="P788" s="250"/>
      <c r="Q788" s="250"/>
      <c r="R788" s="216"/>
      <c r="S788" s="216"/>
      <c r="T788" s="216"/>
      <c r="U788" s="216"/>
      <c r="V788" s="216"/>
      <c r="W788" s="216"/>
      <c r="X788" s="216"/>
      <c r="Y788" s="216"/>
      <c r="Z788" s="216"/>
      <c r="AA788" s="216"/>
      <c r="AB788" s="216"/>
      <c r="AC788" s="216"/>
      <c r="AE788" s="326"/>
      <c r="AF788" s="326"/>
      <c r="AG788" s="326"/>
      <c r="AH788" s="326"/>
    </row>
    <row r="789" spans="1:34" ht="15.5" x14ac:dyDescent="0.35">
      <c r="A789" s="66"/>
      <c r="B789" s="1150"/>
      <c r="C789" s="1151"/>
      <c r="D789" s="1151"/>
      <c r="E789" s="1154" t="s">
        <v>1259</v>
      </c>
      <c r="F789" s="1162"/>
      <c r="G789" s="1149"/>
      <c r="H789" s="1149"/>
      <c r="I789" s="1149"/>
      <c r="J789" s="1149"/>
      <c r="K789" s="327"/>
      <c r="L789" s="609">
        <v>0</v>
      </c>
      <c r="M789" s="609" t="s">
        <v>124</v>
      </c>
      <c r="N789" s="251"/>
      <c r="O789" s="250"/>
      <c r="P789" s="250"/>
      <c r="Q789" s="250"/>
      <c r="R789" s="216"/>
      <c r="S789" s="216"/>
      <c r="T789" s="216"/>
      <c r="U789" s="216"/>
      <c r="V789" s="216"/>
      <c r="W789" s="216"/>
      <c r="X789" s="216"/>
      <c r="Y789" s="216"/>
      <c r="Z789" s="216"/>
      <c r="AA789" s="216"/>
      <c r="AB789" s="216"/>
      <c r="AC789" s="216"/>
      <c r="AE789" s="326"/>
      <c r="AF789" s="326"/>
      <c r="AG789" s="326"/>
      <c r="AH789" s="326"/>
    </row>
    <row r="790" spans="1:34" ht="15.5" x14ac:dyDescent="0.35">
      <c r="A790" s="66"/>
      <c r="B790" s="1161"/>
      <c r="C790" s="1162"/>
      <c r="D790" s="1162"/>
      <c r="E790" s="1154" t="s">
        <v>1260</v>
      </c>
      <c r="F790" s="1162"/>
      <c r="G790" s="1149"/>
      <c r="H790" s="1149"/>
      <c r="I790" s="1149"/>
      <c r="J790" s="1149"/>
      <c r="K790" s="328"/>
      <c r="L790" s="611">
        <v>0</v>
      </c>
      <c r="M790" s="611">
        <v>0</v>
      </c>
      <c r="N790" s="251"/>
      <c r="O790" s="250"/>
      <c r="P790" s="250"/>
      <c r="Q790" s="250"/>
      <c r="R790" s="216"/>
      <c r="S790" s="216"/>
      <c r="T790" s="216"/>
      <c r="U790" s="216"/>
      <c r="V790" s="216"/>
      <c r="W790" s="216"/>
      <c r="X790" s="216"/>
      <c r="Y790" s="216"/>
      <c r="Z790" s="216"/>
      <c r="AA790" s="216"/>
      <c r="AB790" s="216"/>
      <c r="AC790" s="216"/>
      <c r="AE790" s="326"/>
      <c r="AF790" s="326"/>
      <c r="AG790" s="326"/>
      <c r="AH790" s="326"/>
    </row>
    <row r="791" spans="1:34" ht="15.5" x14ac:dyDescent="0.35">
      <c r="A791" s="66"/>
      <c r="B791" s="1150"/>
      <c r="C791" s="1151"/>
      <c r="D791" s="1151"/>
      <c r="E791" s="1151"/>
      <c r="F791" s="1151" t="s">
        <v>1261</v>
      </c>
      <c r="G791" s="1149"/>
      <c r="H791" s="1149"/>
      <c r="I791" s="1149"/>
      <c r="J791" s="1149"/>
      <c r="K791" s="328"/>
      <c r="L791" s="623">
        <f>SUM(L789:L790)</f>
        <v>0</v>
      </c>
      <c r="M791" s="624">
        <f>SUM(M790:M790)</f>
        <v>0</v>
      </c>
      <c r="N791" s="251"/>
      <c r="O791" s="250"/>
      <c r="P791" s="250"/>
      <c r="Q791" s="250"/>
      <c r="R791" s="216"/>
      <c r="S791" s="216"/>
      <c r="T791" s="216"/>
      <c r="U791" s="216"/>
      <c r="V791" s="216"/>
      <c r="W791" s="216"/>
      <c r="X791" s="216"/>
      <c r="Y791" s="216"/>
      <c r="Z791" s="216"/>
      <c r="AA791" s="216"/>
      <c r="AB791" s="216"/>
      <c r="AC791" s="216"/>
      <c r="AE791" s="326"/>
      <c r="AF791" s="326"/>
      <c r="AG791" s="326"/>
      <c r="AH791" s="326"/>
    </row>
    <row r="792" spans="1:34" ht="15.5" x14ac:dyDescent="0.35">
      <c r="A792" s="66"/>
      <c r="B792" s="1161"/>
      <c r="C792" s="1162"/>
      <c r="D792" s="1151" t="s">
        <v>1262</v>
      </c>
      <c r="E792" s="1151"/>
      <c r="F792" s="1162"/>
      <c r="G792" s="1149"/>
      <c r="H792" s="1149"/>
      <c r="I792" s="1149"/>
      <c r="J792" s="1149"/>
      <c r="K792" s="328"/>
      <c r="L792" s="625"/>
      <c r="M792" s="626"/>
      <c r="N792" s="251"/>
      <c r="O792" s="250"/>
      <c r="P792" s="250"/>
      <c r="Q792" s="250"/>
      <c r="R792" s="216"/>
      <c r="S792" s="216"/>
      <c r="T792" s="216"/>
      <c r="U792" s="216"/>
      <c r="V792" s="216"/>
      <c r="W792" s="216"/>
      <c r="X792" s="216"/>
      <c r="Y792" s="216"/>
      <c r="Z792" s="216"/>
      <c r="AA792" s="216"/>
      <c r="AB792" s="216"/>
      <c r="AC792" s="216"/>
      <c r="AE792" s="326"/>
      <c r="AF792" s="326"/>
      <c r="AG792" s="326"/>
      <c r="AH792" s="326"/>
    </row>
    <row r="793" spans="1:34" ht="15.5" x14ac:dyDescent="0.35">
      <c r="A793" s="66"/>
      <c r="B793" s="1150"/>
      <c r="C793" s="1151"/>
      <c r="D793" s="1151"/>
      <c r="E793" s="1153" t="s">
        <v>1263</v>
      </c>
      <c r="F793" s="1151"/>
      <c r="G793" s="1149"/>
      <c r="H793" s="1149"/>
      <c r="I793" s="1149"/>
      <c r="J793" s="1149"/>
      <c r="K793" s="327"/>
      <c r="L793" s="609">
        <v>1500000</v>
      </c>
      <c r="M793" s="609">
        <v>7000</v>
      </c>
      <c r="N793" s="251"/>
      <c r="O793" s="250"/>
      <c r="P793" s="250"/>
      <c r="Q793" s="250"/>
      <c r="R793" s="216"/>
      <c r="S793" s="216"/>
      <c r="T793" s="216"/>
      <c r="U793" s="216"/>
      <c r="V793" s="216"/>
      <c r="W793" s="216"/>
      <c r="X793" s="216"/>
      <c r="Y793" s="216"/>
      <c r="Z793" s="216"/>
      <c r="AA793" s="216"/>
      <c r="AB793" s="216"/>
      <c r="AC793" s="216"/>
      <c r="AE793" s="326"/>
      <c r="AF793" s="326"/>
      <c r="AG793" s="326"/>
      <c r="AH793" s="326"/>
    </row>
    <row r="794" spans="1:34" ht="15.5" x14ac:dyDescent="0.35">
      <c r="A794" s="66"/>
      <c r="B794" s="1152"/>
      <c r="C794" s="1153"/>
      <c r="D794" s="1153"/>
      <c r="E794" s="1153" t="s">
        <v>1264</v>
      </c>
      <c r="F794" s="1153"/>
      <c r="G794" s="1149"/>
      <c r="H794" s="1149"/>
      <c r="I794" s="1149"/>
      <c r="J794" s="1149"/>
      <c r="K794" s="328"/>
      <c r="L794" s="609">
        <v>69900</v>
      </c>
      <c r="M794" s="609">
        <v>69600</v>
      </c>
      <c r="N794" s="251"/>
      <c r="O794" s="250"/>
      <c r="P794" s="250"/>
      <c r="Q794" s="250"/>
      <c r="R794" s="216"/>
      <c r="S794" s="216"/>
      <c r="T794" s="216"/>
      <c r="U794" s="216"/>
      <c r="V794" s="216"/>
      <c r="W794" s="216"/>
      <c r="X794" s="216"/>
      <c r="Y794" s="216"/>
      <c r="Z794" s="216"/>
      <c r="AA794" s="216"/>
      <c r="AB794" s="216"/>
      <c r="AC794" s="216"/>
      <c r="AE794" s="326"/>
      <c r="AF794" s="326"/>
      <c r="AG794" s="326"/>
      <c r="AH794" s="326"/>
    </row>
    <row r="795" spans="1:34" ht="15.5" x14ac:dyDescent="0.35">
      <c r="A795" s="66"/>
      <c r="B795" s="1152"/>
      <c r="C795" s="1153"/>
      <c r="D795" s="1153"/>
      <c r="E795" s="1153" t="s">
        <v>2365</v>
      </c>
      <c r="F795" s="1153"/>
      <c r="G795" s="1149"/>
      <c r="H795" s="1149"/>
      <c r="I795" s="1149"/>
      <c r="J795" s="1149"/>
      <c r="K795" s="328"/>
      <c r="L795" s="1464"/>
      <c r="M795" s="1464"/>
      <c r="N795" s="251"/>
      <c r="O795" s="250"/>
      <c r="P795" s="250"/>
      <c r="Q795" s="250"/>
      <c r="R795" s="216"/>
      <c r="S795" s="216"/>
      <c r="T795" s="216"/>
      <c r="U795" s="216"/>
      <c r="V795" s="216"/>
      <c r="W795" s="216"/>
      <c r="X795" s="216"/>
      <c r="Y795" s="216"/>
      <c r="Z795" s="216"/>
      <c r="AA795" s="216"/>
      <c r="AB795" s="216"/>
      <c r="AC795" s="216"/>
      <c r="AE795" s="1450"/>
      <c r="AF795" s="1450"/>
      <c r="AG795" s="1450"/>
      <c r="AH795" s="1450"/>
    </row>
    <row r="796" spans="1:34" ht="15.5" x14ac:dyDescent="0.35">
      <c r="A796" s="66"/>
      <c r="B796" s="1152"/>
      <c r="C796" s="1153"/>
      <c r="D796" s="1153"/>
      <c r="E796" s="1153" t="s">
        <v>2366</v>
      </c>
      <c r="F796" s="1153"/>
      <c r="G796" s="1149"/>
      <c r="H796" s="1149"/>
      <c r="I796" s="1149"/>
      <c r="J796" s="1149"/>
      <c r="K796" s="328"/>
      <c r="L796" s="1464"/>
      <c r="M796" s="1464"/>
      <c r="N796" s="251"/>
      <c r="O796" s="250"/>
      <c r="P796" s="250"/>
      <c r="Q796" s="250"/>
      <c r="R796" s="216"/>
      <c r="S796" s="216"/>
      <c r="T796" s="216"/>
      <c r="U796" s="216"/>
      <c r="V796" s="216"/>
      <c r="W796" s="216"/>
      <c r="X796" s="216"/>
      <c r="Y796" s="216"/>
      <c r="Z796" s="216"/>
      <c r="AA796" s="216"/>
      <c r="AB796" s="216"/>
      <c r="AC796" s="216"/>
      <c r="AE796" s="1450"/>
      <c r="AF796" s="1450"/>
      <c r="AG796" s="1450"/>
      <c r="AH796" s="1450"/>
    </row>
    <row r="797" spans="1:34" ht="15.5" x14ac:dyDescent="0.35">
      <c r="A797" s="66"/>
      <c r="B797" s="1152"/>
      <c r="C797" s="1153"/>
      <c r="D797" s="1153"/>
      <c r="E797" s="1153" t="s">
        <v>2367</v>
      </c>
      <c r="F797" s="1153"/>
      <c r="G797" s="1149"/>
      <c r="H797" s="1149"/>
      <c r="I797" s="1149"/>
      <c r="J797" s="1149"/>
      <c r="K797" s="328"/>
      <c r="L797" s="1464"/>
      <c r="M797" s="1464"/>
      <c r="N797" s="251"/>
      <c r="O797" s="250"/>
      <c r="P797" s="250"/>
      <c r="Q797" s="250"/>
      <c r="R797" s="216"/>
      <c r="S797" s="216"/>
      <c r="T797" s="216"/>
      <c r="U797" s="216"/>
      <c r="V797" s="216"/>
      <c r="W797" s="216"/>
      <c r="X797" s="216"/>
      <c r="Y797" s="216"/>
      <c r="Z797" s="216"/>
      <c r="AA797" s="216"/>
      <c r="AB797" s="216"/>
      <c r="AC797" s="216"/>
      <c r="AE797" s="1450"/>
      <c r="AF797" s="1450"/>
      <c r="AG797" s="1450"/>
      <c r="AH797" s="1450"/>
    </row>
    <row r="798" spans="1:34" ht="15.5" x14ac:dyDescent="0.35">
      <c r="A798" s="66"/>
      <c r="B798" s="1150"/>
      <c r="C798" s="1151"/>
      <c r="D798" s="1151"/>
      <c r="E798" s="1151"/>
      <c r="F798" s="1151" t="s">
        <v>1265</v>
      </c>
      <c r="G798" s="1149"/>
      <c r="H798" s="1149"/>
      <c r="I798" s="1149"/>
      <c r="J798" s="1149"/>
      <c r="K798" s="328"/>
      <c r="L798" s="621">
        <f>L793-L794</f>
        <v>1430100</v>
      </c>
      <c r="M798" s="621">
        <f>M793-M794</f>
        <v>-62600</v>
      </c>
      <c r="N798" s="251"/>
      <c r="O798" s="250"/>
      <c r="P798" s="250"/>
      <c r="Q798" s="250"/>
      <c r="R798" s="216"/>
      <c r="S798" s="216"/>
      <c r="T798" s="216"/>
      <c r="U798" s="216"/>
      <c r="V798" s="216"/>
      <c r="W798" s="216"/>
      <c r="X798" s="216"/>
      <c r="Y798" s="216"/>
      <c r="Z798" s="216"/>
      <c r="AA798" s="216"/>
      <c r="AB798" s="216"/>
      <c r="AC798" s="216"/>
      <c r="AE798" s="326"/>
      <c r="AF798" s="326"/>
      <c r="AG798" s="326"/>
      <c r="AH798" s="326"/>
    </row>
    <row r="799" spans="1:34" ht="15.5" x14ac:dyDescent="0.35">
      <c r="A799" s="66"/>
      <c r="B799" s="1150"/>
      <c r="C799" s="1151"/>
      <c r="D799" s="1151"/>
      <c r="E799" s="1151"/>
      <c r="F799" s="1151" t="s">
        <v>1266</v>
      </c>
      <c r="G799" s="1149"/>
      <c r="H799" s="1149"/>
      <c r="I799" s="1149"/>
      <c r="J799" s="1149"/>
      <c r="K799" s="327"/>
      <c r="L799" s="619">
        <f>L787+L791+L798</f>
        <v>3230099</v>
      </c>
      <c r="M799" s="620">
        <f>M798+M791+M787</f>
        <v>45100087</v>
      </c>
      <c r="N799" s="251"/>
      <c r="O799" s="250"/>
      <c r="P799" s="250"/>
      <c r="Q799" s="250"/>
      <c r="R799" s="216"/>
      <c r="S799" s="216"/>
      <c r="T799" s="216"/>
      <c r="U799" s="216"/>
      <c r="V799" s="216"/>
      <c r="W799" s="216"/>
      <c r="X799" s="216"/>
      <c r="Y799" s="216"/>
      <c r="Z799" s="216"/>
      <c r="AA799" s="216"/>
      <c r="AB799" s="216"/>
      <c r="AC799" s="216"/>
      <c r="AE799" s="326"/>
      <c r="AF799" s="326"/>
      <c r="AG799" s="326"/>
      <c r="AH799" s="326"/>
    </row>
    <row r="800" spans="1:34" ht="15.5" x14ac:dyDescent="0.35">
      <c r="A800" s="66"/>
      <c r="B800" s="1160" t="s">
        <v>1267</v>
      </c>
      <c r="C800" s="1151"/>
      <c r="D800" s="1151"/>
      <c r="E800" s="1151"/>
      <c r="F800" s="1153"/>
      <c r="G800" s="1149"/>
      <c r="H800" s="1149"/>
      <c r="I800" s="1149"/>
      <c r="J800" s="1149"/>
      <c r="K800" s="328"/>
      <c r="L800" s="614"/>
      <c r="M800" s="613"/>
      <c r="N800" s="251"/>
      <c r="O800" s="250"/>
      <c r="P800" s="250"/>
      <c r="Q800" s="250"/>
      <c r="R800" s="216"/>
      <c r="S800" s="216"/>
      <c r="T800" s="216"/>
      <c r="U800" s="216"/>
      <c r="V800" s="216"/>
      <c r="W800" s="216"/>
      <c r="X800" s="216"/>
      <c r="Y800" s="216"/>
      <c r="Z800" s="216"/>
      <c r="AA800" s="216"/>
      <c r="AB800" s="216"/>
      <c r="AC800" s="216"/>
      <c r="AE800" s="326"/>
      <c r="AF800" s="326"/>
      <c r="AG800" s="326"/>
      <c r="AH800" s="326"/>
    </row>
    <row r="801" spans="1:34" ht="15.5" x14ac:dyDescent="0.35">
      <c r="A801" s="66"/>
      <c r="B801" s="1150"/>
      <c r="C801" s="1151"/>
      <c r="D801" s="1151" t="s">
        <v>1268</v>
      </c>
      <c r="E801" s="1151"/>
      <c r="F801" s="1153"/>
      <c r="G801" s="1149"/>
      <c r="H801" s="1149"/>
      <c r="I801" s="1149"/>
      <c r="J801" s="1149"/>
      <c r="K801" s="328"/>
      <c r="L801" s="609">
        <v>0</v>
      </c>
      <c r="M801" s="609">
        <v>0</v>
      </c>
      <c r="N801" s="251"/>
      <c r="O801" s="250"/>
      <c r="P801" s="250"/>
      <c r="Q801" s="250"/>
      <c r="R801" s="216"/>
      <c r="S801" s="216"/>
      <c r="T801" s="216"/>
      <c r="U801" s="216"/>
      <c r="V801" s="216"/>
      <c r="W801" s="216"/>
      <c r="X801" s="216"/>
      <c r="Y801" s="216"/>
      <c r="Z801" s="216"/>
      <c r="AA801" s="216"/>
      <c r="AB801" s="216"/>
      <c r="AC801" s="216"/>
      <c r="AE801" s="326"/>
      <c r="AF801" s="326"/>
      <c r="AG801" s="326"/>
      <c r="AH801" s="326"/>
    </row>
    <row r="802" spans="1:34" ht="15.5" x14ac:dyDescent="0.35">
      <c r="A802" s="66"/>
      <c r="B802" s="1150"/>
      <c r="C802" s="1151"/>
      <c r="D802" s="1151"/>
      <c r="E802" s="1151"/>
      <c r="F802" s="1151" t="s">
        <v>1269</v>
      </c>
      <c r="G802" s="1149"/>
      <c r="H802" s="1149"/>
      <c r="I802" s="1149"/>
      <c r="J802" s="1149"/>
      <c r="K802" s="328"/>
      <c r="L802" s="627">
        <f>SUM(L801)</f>
        <v>0</v>
      </c>
      <c r="M802" s="622">
        <f>SUM(M801)</f>
        <v>0</v>
      </c>
      <c r="N802" s="251"/>
      <c r="O802" s="250"/>
      <c r="P802" s="250"/>
      <c r="Q802" s="250"/>
      <c r="R802" s="216"/>
      <c r="S802" s="216"/>
      <c r="T802" s="216"/>
      <c r="U802" s="216"/>
      <c r="V802" s="216"/>
      <c r="W802" s="216"/>
      <c r="X802" s="216"/>
      <c r="Y802" s="216"/>
      <c r="Z802" s="216"/>
      <c r="AA802" s="216"/>
      <c r="AB802" s="216"/>
      <c r="AC802" s="216"/>
      <c r="AE802" s="326"/>
      <c r="AF802" s="326"/>
      <c r="AG802" s="326"/>
      <c r="AH802" s="326"/>
    </row>
    <row r="803" spans="1:34" ht="16" thickBot="1" x14ac:dyDescent="0.4">
      <c r="A803" s="66"/>
      <c r="B803" s="1164"/>
      <c r="C803" s="1165" t="s">
        <v>1270</v>
      </c>
      <c r="D803" s="1165"/>
      <c r="E803" s="1165"/>
      <c r="F803" s="1166"/>
      <c r="G803" s="1149"/>
      <c r="H803" s="1149"/>
      <c r="I803" s="1149"/>
      <c r="J803" s="1149"/>
      <c r="K803" s="330"/>
      <c r="L803" s="628">
        <f>L781+L799</f>
        <v>-10854662544</v>
      </c>
      <c r="M803" s="1264">
        <f>M781+M799</f>
        <v>-10422079175</v>
      </c>
      <c r="N803" s="251"/>
      <c r="O803" s="250"/>
      <c r="P803" s="250"/>
      <c r="Q803" s="250"/>
      <c r="R803" s="216"/>
      <c r="S803" s="216"/>
      <c r="T803" s="216"/>
      <c r="U803" s="216"/>
      <c r="V803" s="216"/>
      <c r="W803" s="216"/>
      <c r="X803" s="216"/>
      <c r="Y803" s="216"/>
      <c r="Z803" s="216"/>
      <c r="AA803" s="216"/>
      <c r="AB803" s="216"/>
      <c r="AC803" s="216"/>
      <c r="AE803" s="326"/>
      <c r="AF803" s="326"/>
      <c r="AG803" s="326"/>
      <c r="AH803" s="326"/>
    </row>
    <row r="804" spans="1:34" ht="16" thickTop="1" x14ac:dyDescent="0.35">
      <c r="A804" s="66"/>
      <c r="B804" s="249"/>
      <c r="C804" s="250"/>
      <c r="D804" s="250"/>
      <c r="E804" s="250"/>
      <c r="F804" s="250"/>
      <c r="G804" s="250"/>
      <c r="H804" s="250"/>
      <c r="I804" s="251"/>
      <c r="J804" s="251"/>
      <c r="K804" s="251"/>
      <c r="L804" s="251"/>
      <c r="M804" s="251"/>
      <c r="N804" s="251"/>
      <c r="O804" s="250"/>
      <c r="P804" s="250"/>
      <c r="Q804" s="250"/>
      <c r="R804" s="216"/>
      <c r="S804" s="216"/>
      <c r="T804" s="216"/>
      <c r="U804" s="216"/>
      <c r="V804" s="216"/>
      <c r="W804" s="216"/>
      <c r="X804" s="216"/>
      <c r="Y804" s="216"/>
      <c r="Z804" s="216"/>
      <c r="AA804" s="216"/>
      <c r="AB804" s="216"/>
      <c r="AC804" s="216"/>
      <c r="AE804" s="326"/>
      <c r="AF804" s="326"/>
      <c r="AG804" s="326"/>
      <c r="AH804" s="326"/>
    </row>
    <row r="805" spans="1:34" ht="18" x14ac:dyDescent="0.35">
      <c r="A805" s="66"/>
      <c r="B805" s="1682" t="s">
        <v>1274</v>
      </c>
      <c r="C805" s="1682"/>
      <c r="D805" s="1682"/>
      <c r="E805" s="1682"/>
      <c r="F805" s="1682"/>
      <c r="G805" s="1682"/>
      <c r="H805" s="1682"/>
      <c r="I805" s="1682"/>
      <c r="J805" s="1682"/>
      <c r="K805" s="1682"/>
      <c r="L805" s="1682"/>
      <c r="M805" s="1682"/>
      <c r="N805" s="251"/>
      <c r="O805" s="250"/>
      <c r="P805" s="250"/>
      <c r="Q805" s="250"/>
      <c r="R805" s="216"/>
      <c r="S805" s="216"/>
      <c r="T805" s="216"/>
      <c r="U805" s="216"/>
      <c r="V805" s="216"/>
      <c r="W805" s="216"/>
      <c r="X805" s="216"/>
      <c r="Y805" s="216"/>
      <c r="Z805" s="216"/>
      <c r="AA805" s="216"/>
      <c r="AB805" s="216"/>
      <c r="AC805" s="216"/>
      <c r="AE805" s="326"/>
      <c r="AF805" s="326"/>
      <c r="AG805" s="326"/>
      <c r="AH805" s="326"/>
    </row>
    <row r="806" spans="1:34" ht="18" x14ac:dyDescent="0.4">
      <c r="A806" s="66"/>
      <c r="B806" s="1858" t="str">
        <f>"UNTUK PERIODE YANG BERAKHIR "&amp;UPPER(Input!$Q$24)&amp;" DAN "&amp;UPPER(Input!$Q$25)</f>
        <v>UNTUK PERIODE YANG BERAKHIR 31 DESEMBER 2019 DAN 31 DESEMBER 2018</v>
      </c>
      <c r="C806" s="1858"/>
      <c r="D806" s="1858"/>
      <c r="E806" s="1858"/>
      <c r="F806" s="1858"/>
      <c r="G806" s="1858"/>
      <c r="H806" s="1858"/>
      <c r="I806" s="1858"/>
      <c r="J806" s="1858"/>
      <c r="K806" s="1858"/>
      <c r="L806" s="1858"/>
      <c r="M806" s="1858"/>
      <c r="N806" s="251"/>
      <c r="O806" s="250"/>
      <c r="P806" s="250"/>
      <c r="Q806" s="250"/>
      <c r="R806" s="216"/>
      <c r="S806" s="216"/>
      <c r="T806" s="216"/>
      <c r="U806" s="216"/>
      <c r="V806" s="216"/>
      <c r="W806" s="216"/>
      <c r="X806" s="216"/>
      <c r="Y806" s="216"/>
      <c r="Z806" s="216"/>
      <c r="AA806" s="216"/>
      <c r="AB806" s="216"/>
      <c r="AC806" s="216"/>
      <c r="AE806" s="326"/>
      <c r="AF806" s="326"/>
      <c r="AG806" s="326"/>
      <c r="AH806" s="326"/>
    </row>
    <row r="807" spans="1:34" ht="18" x14ac:dyDescent="0.4">
      <c r="A807" s="66"/>
      <c r="B807" s="339"/>
      <c r="C807" s="339"/>
      <c r="D807" s="339"/>
      <c r="E807" s="339"/>
      <c r="F807" s="339"/>
      <c r="G807" s="339"/>
      <c r="H807" s="339"/>
      <c r="I807" s="339"/>
      <c r="J807" s="339"/>
      <c r="K807" s="339"/>
      <c r="L807" s="339"/>
      <c r="M807" s="339"/>
      <c r="N807" s="251"/>
      <c r="O807" s="250"/>
      <c r="P807" s="250"/>
      <c r="Q807" s="250"/>
      <c r="R807" s="216"/>
      <c r="S807" s="216"/>
      <c r="T807" s="216"/>
      <c r="U807" s="216"/>
      <c r="V807" s="216"/>
      <c r="W807" s="216"/>
      <c r="X807" s="216"/>
      <c r="Y807" s="216"/>
      <c r="Z807" s="216"/>
      <c r="AA807" s="216"/>
      <c r="AB807" s="216"/>
      <c r="AC807" s="216"/>
      <c r="AE807" s="341"/>
      <c r="AF807" s="341"/>
      <c r="AG807" s="341"/>
      <c r="AH807" s="341"/>
    </row>
    <row r="808" spans="1:34" ht="15.5" x14ac:dyDescent="0.35">
      <c r="A808" s="66"/>
      <c r="B808" s="1859" t="s">
        <v>264</v>
      </c>
      <c r="C808" s="1860"/>
      <c r="D808" s="1860"/>
      <c r="E808" s="1860"/>
      <c r="F808" s="1860"/>
      <c r="G808" s="1860"/>
      <c r="H808" s="1860"/>
      <c r="I808" s="1860"/>
      <c r="J808" s="1861"/>
      <c r="K808" s="1167"/>
      <c r="L808" s="1168" t="str">
        <f>Input!$Y$24</f>
        <v>2019</v>
      </c>
      <c r="M808" s="1168" t="str">
        <f>Input!$Y$25</f>
        <v>2018</v>
      </c>
      <c r="N808" s="251"/>
      <c r="O808" s="250"/>
      <c r="P808" s="250"/>
      <c r="Q808" s="250"/>
      <c r="R808" s="216"/>
      <c r="S808" s="216"/>
      <c r="T808" s="216"/>
      <c r="U808" s="216"/>
      <c r="V808" s="216"/>
      <c r="W808" s="216"/>
      <c r="X808" s="216"/>
      <c r="Y808" s="216"/>
      <c r="Z808" s="216"/>
      <c r="AA808" s="216"/>
      <c r="AB808" s="216"/>
      <c r="AC808" s="216"/>
      <c r="AE808" s="326"/>
      <c r="AF808" s="326"/>
      <c r="AG808" s="326"/>
      <c r="AH808" s="326"/>
    </row>
    <row r="809" spans="1:34" ht="15.5" x14ac:dyDescent="0.35">
      <c r="A809" s="66"/>
      <c r="B809" s="1169" t="s">
        <v>1275</v>
      </c>
      <c r="C809" s="1149"/>
      <c r="D809" s="1149"/>
      <c r="E809" s="1149"/>
      <c r="F809" s="1149"/>
      <c r="G809" s="1149"/>
      <c r="H809" s="1149"/>
      <c r="I809" s="1149"/>
      <c r="J809" s="1149"/>
      <c r="K809" s="331"/>
      <c r="L809" s="609">
        <v>23189043788</v>
      </c>
      <c r="M809" s="609">
        <v>7923976921</v>
      </c>
      <c r="N809" s="251"/>
      <c r="O809" s="250"/>
      <c r="P809" s="250"/>
      <c r="Q809" s="250"/>
      <c r="R809" s="216"/>
      <c r="S809" s="216"/>
      <c r="T809" s="216"/>
      <c r="U809" s="216"/>
      <c r="V809" s="216"/>
      <c r="W809" s="216"/>
      <c r="X809" s="216"/>
      <c r="Y809" s="216"/>
      <c r="Z809" s="216"/>
      <c r="AA809" s="216"/>
      <c r="AB809" s="216"/>
      <c r="AC809" s="216"/>
      <c r="AE809" s="326"/>
      <c r="AF809" s="326"/>
      <c r="AG809" s="326"/>
      <c r="AH809" s="326"/>
    </row>
    <row r="810" spans="1:34" ht="15.5" x14ac:dyDescent="0.35">
      <c r="A810" s="66"/>
      <c r="B810" s="1150" t="s">
        <v>1276</v>
      </c>
      <c r="C810" s="1170"/>
      <c r="D810" s="1151"/>
      <c r="E810" s="1151"/>
      <c r="F810" s="1151"/>
      <c r="G810" s="1149"/>
      <c r="H810" s="1149"/>
      <c r="I810" s="1149"/>
      <c r="J810" s="1149"/>
      <c r="K810" s="332"/>
      <c r="L810" s="632">
        <f>$L$803</f>
        <v>-10854662544</v>
      </c>
      <c r="M810" s="632">
        <f>$M$803</f>
        <v>-10422079175</v>
      </c>
      <c r="N810" s="251"/>
      <c r="O810" s="250"/>
      <c r="P810" s="250"/>
      <c r="Q810" s="250"/>
      <c r="R810" s="216"/>
      <c r="S810" s="216"/>
      <c r="T810" s="216"/>
      <c r="U810" s="216"/>
      <c r="V810" s="216"/>
      <c r="W810" s="216"/>
      <c r="X810" s="216"/>
      <c r="Y810" s="216"/>
      <c r="Z810" s="216"/>
      <c r="AA810" s="216"/>
      <c r="AB810" s="216"/>
      <c r="AC810" s="216"/>
      <c r="AE810" s="326"/>
      <c r="AF810" s="326"/>
      <c r="AG810" s="326"/>
      <c r="AH810" s="326"/>
    </row>
    <row r="811" spans="1:34" ht="15.5" x14ac:dyDescent="0.35">
      <c r="A811" s="66"/>
      <c r="B811" s="1150" t="s">
        <v>2132</v>
      </c>
      <c r="C811" s="1151"/>
      <c r="D811" s="1151"/>
      <c r="E811" s="1151"/>
      <c r="F811" s="1151"/>
      <c r="G811" s="1149"/>
      <c r="H811" s="1149"/>
      <c r="I811" s="1149"/>
      <c r="J811" s="1149"/>
      <c r="K811" s="332"/>
      <c r="L811" s="1373">
        <f>SUM(L812:L818)</f>
        <v>3375212</v>
      </c>
      <c r="M811" s="1373">
        <f>SUM(M812:M818)</f>
        <v>14234709992</v>
      </c>
      <c r="N811" s="251"/>
      <c r="O811" s="250"/>
      <c r="P811" s="250"/>
      <c r="Q811" s="250"/>
      <c r="R811" s="216"/>
      <c r="S811" s="216"/>
      <c r="T811" s="216"/>
      <c r="U811" s="216"/>
      <c r="V811" s="216"/>
      <c r="W811" s="216"/>
      <c r="X811" s="216"/>
      <c r="Y811" s="216"/>
      <c r="Z811" s="216"/>
      <c r="AA811" s="216"/>
      <c r="AB811" s="216"/>
      <c r="AC811" s="216"/>
      <c r="AE811" s="1255"/>
      <c r="AF811" s="1255"/>
      <c r="AG811" s="1255"/>
      <c r="AH811" s="1255"/>
    </row>
    <row r="812" spans="1:34" ht="15.5" x14ac:dyDescent="0.35">
      <c r="A812" s="66"/>
      <c r="B812" s="1372"/>
      <c r="C812" s="1154" t="s">
        <v>2261</v>
      </c>
      <c r="D812" s="1157"/>
      <c r="E812" s="1157"/>
      <c r="F812" s="1171"/>
      <c r="G812" s="1149"/>
      <c r="H812" s="1149"/>
      <c r="I812" s="1149"/>
      <c r="J812" s="1149"/>
      <c r="K812" s="333"/>
      <c r="L812" s="632">
        <v>0</v>
      </c>
      <c r="M812" s="1265">
        <v>0</v>
      </c>
      <c r="N812" s="251"/>
      <c r="O812" s="250"/>
      <c r="P812" s="250"/>
      <c r="Q812" s="250"/>
      <c r="R812" s="216"/>
      <c r="S812" s="216"/>
      <c r="T812" s="216"/>
      <c r="U812" s="216"/>
      <c r="V812" s="216"/>
      <c r="W812" s="216"/>
      <c r="X812" s="216"/>
      <c r="Y812" s="216"/>
      <c r="Z812" s="216"/>
      <c r="AA812" s="216"/>
      <c r="AB812" s="216"/>
      <c r="AC812" s="216"/>
      <c r="AE812" s="326"/>
      <c r="AF812" s="326"/>
      <c r="AG812" s="326"/>
      <c r="AH812" s="326"/>
    </row>
    <row r="813" spans="1:34" ht="15.5" x14ac:dyDescent="0.35">
      <c r="A813" s="66"/>
      <c r="B813" s="1152"/>
      <c r="C813" s="1153" t="s">
        <v>2056</v>
      </c>
      <c r="D813" s="1151"/>
      <c r="E813" s="1151"/>
      <c r="F813" s="1151"/>
      <c r="G813" s="1149"/>
      <c r="H813" s="1149"/>
      <c r="I813" s="1149"/>
      <c r="J813" s="1149"/>
      <c r="K813" s="332"/>
      <c r="L813" s="632">
        <v>0</v>
      </c>
      <c r="M813" s="1265">
        <v>0</v>
      </c>
      <c r="N813" s="251"/>
      <c r="O813" s="250"/>
      <c r="P813" s="250"/>
      <c r="Q813" s="250"/>
      <c r="R813" s="216"/>
      <c r="S813" s="216"/>
      <c r="T813" s="216"/>
      <c r="U813" s="216"/>
      <c r="V813" s="216"/>
      <c r="W813" s="216"/>
      <c r="X813" s="216"/>
      <c r="Y813" s="216"/>
      <c r="Z813" s="216"/>
      <c r="AA813" s="216"/>
      <c r="AB813" s="216"/>
      <c r="AC813" s="216"/>
      <c r="AE813" s="1255"/>
      <c r="AF813" s="1255"/>
      <c r="AG813" s="1255"/>
      <c r="AH813" s="1255"/>
    </row>
    <row r="814" spans="1:34" ht="15.5" x14ac:dyDescent="0.35">
      <c r="A814" s="66"/>
      <c r="B814" s="1152"/>
      <c r="C814" s="1370" t="s">
        <v>1277</v>
      </c>
      <c r="D814" s="1153"/>
      <c r="E814" s="1153"/>
      <c r="F814" s="1153"/>
      <c r="G814" s="1149"/>
      <c r="H814" s="1149"/>
      <c r="I814" s="1149"/>
      <c r="J814" s="1149"/>
      <c r="K814" s="333"/>
      <c r="L814" s="609"/>
      <c r="M814" s="1265"/>
      <c r="N814" s="251"/>
      <c r="O814" s="250"/>
      <c r="P814" s="250"/>
      <c r="Q814" s="250"/>
      <c r="R814" s="216"/>
      <c r="S814" s="216"/>
      <c r="T814" s="216"/>
      <c r="U814" s="216"/>
      <c r="V814" s="216"/>
      <c r="W814" s="216"/>
      <c r="X814" s="216"/>
      <c r="Y814" s="216"/>
      <c r="Z814" s="216"/>
      <c r="AA814" s="216"/>
      <c r="AB814" s="216"/>
      <c r="AC814" s="216"/>
      <c r="AE814" s="326"/>
      <c r="AF814" s="326"/>
      <c r="AG814" s="326"/>
      <c r="AH814" s="326"/>
    </row>
    <row r="815" spans="1:34" ht="15.5" x14ac:dyDescent="0.35">
      <c r="A815" s="66"/>
      <c r="B815" s="1152"/>
      <c r="C815" s="1370" t="s">
        <v>2392</v>
      </c>
      <c r="D815" s="1153"/>
      <c r="E815" s="1153"/>
      <c r="F815" s="1153"/>
      <c r="G815" s="1149"/>
      <c r="H815" s="1149"/>
      <c r="I815" s="1149"/>
      <c r="J815" s="1149"/>
      <c r="K815" s="333"/>
      <c r="L815" s="609">
        <v>3375212</v>
      </c>
      <c r="M815" s="1265"/>
      <c r="N815" s="251"/>
      <c r="O815" s="250"/>
      <c r="P815" s="250"/>
      <c r="Q815" s="250"/>
      <c r="R815" s="216"/>
      <c r="S815" s="216"/>
      <c r="T815" s="216"/>
      <c r="U815" s="216"/>
      <c r="V815" s="216"/>
      <c r="W815" s="216"/>
      <c r="X815" s="216"/>
      <c r="Y815" s="216"/>
      <c r="Z815" s="216"/>
      <c r="AA815" s="216"/>
      <c r="AB815" s="216"/>
      <c r="AC815" s="216"/>
      <c r="AE815" s="1481"/>
      <c r="AF815" s="1481"/>
      <c r="AG815" s="1481"/>
      <c r="AH815" s="1481"/>
    </row>
    <row r="816" spans="1:34" ht="15.5" x14ac:dyDescent="0.35">
      <c r="A816" s="66"/>
      <c r="B816" s="1152"/>
      <c r="C816" s="1370" t="s">
        <v>1278</v>
      </c>
      <c r="D816" s="1153"/>
      <c r="E816" s="1153"/>
      <c r="F816" s="1153"/>
      <c r="G816" s="1149"/>
      <c r="H816" s="1149"/>
      <c r="I816" s="1149"/>
      <c r="J816" s="1149"/>
      <c r="K816" s="333"/>
      <c r="L816" s="609"/>
      <c r="M816" s="609">
        <v>14234709992</v>
      </c>
      <c r="N816" s="251"/>
      <c r="O816" s="250"/>
      <c r="P816" s="250"/>
      <c r="Q816" s="250"/>
      <c r="R816" s="216"/>
      <c r="S816" s="216"/>
      <c r="T816" s="216"/>
      <c r="U816" s="216"/>
      <c r="V816" s="216"/>
      <c r="W816" s="216"/>
      <c r="X816" s="216"/>
      <c r="Y816" s="216"/>
      <c r="Z816" s="216"/>
      <c r="AA816" s="216"/>
      <c r="AB816" s="216"/>
      <c r="AC816" s="216"/>
      <c r="AE816" s="326"/>
      <c r="AF816" s="326"/>
      <c r="AG816" s="326"/>
      <c r="AH816" s="326"/>
    </row>
    <row r="817" spans="1:35" ht="15.5" x14ac:dyDescent="0.35">
      <c r="A817" s="66"/>
      <c r="B817" s="1152"/>
      <c r="C817" s="1370" t="s">
        <v>1279</v>
      </c>
      <c r="D817" s="1153"/>
      <c r="E817" s="1153"/>
      <c r="F817" s="1153"/>
      <c r="G817" s="1149"/>
      <c r="H817" s="1149"/>
      <c r="I817" s="1149"/>
      <c r="J817" s="1149"/>
      <c r="K817" s="333"/>
      <c r="L817" s="1265"/>
      <c r="M817" s="1265">
        <v>0</v>
      </c>
      <c r="N817" s="251"/>
      <c r="O817" s="250"/>
      <c r="P817" s="250"/>
      <c r="Q817" s="250"/>
      <c r="R817" s="216"/>
      <c r="S817" s="216"/>
      <c r="T817" s="216"/>
      <c r="U817" s="216"/>
      <c r="V817" s="216"/>
      <c r="W817" s="216"/>
      <c r="X817" s="216"/>
      <c r="Y817" s="216"/>
      <c r="Z817" s="216"/>
      <c r="AA817" s="216"/>
      <c r="AB817" s="216"/>
      <c r="AC817" s="216"/>
      <c r="AE817" s="1361"/>
      <c r="AF817" s="1361"/>
      <c r="AG817" s="1361"/>
      <c r="AH817" s="1361"/>
    </row>
    <row r="818" spans="1:35" ht="15.5" x14ac:dyDescent="0.35">
      <c r="A818" s="66"/>
      <c r="B818" s="1152"/>
      <c r="C818" s="1370" t="s">
        <v>2133</v>
      </c>
      <c r="D818" s="1153"/>
      <c r="E818" s="1153"/>
      <c r="F818" s="1153"/>
      <c r="G818" s="1149"/>
      <c r="H818" s="1149"/>
      <c r="I818" s="1149"/>
      <c r="J818" s="1149"/>
      <c r="K818" s="333"/>
      <c r="L818" s="1265">
        <v>0</v>
      </c>
      <c r="M818" s="1265">
        <v>0</v>
      </c>
      <c r="N818" s="251"/>
      <c r="O818" s="250"/>
      <c r="P818" s="250"/>
      <c r="Q818" s="250"/>
      <c r="R818" s="216"/>
      <c r="S818" s="216"/>
      <c r="T818" s="216"/>
      <c r="U818" s="216"/>
      <c r="V818" s="216"/>
      <c r="W818" s="216"/>
      <c r="X818" s="216"/>
      <c r="Y818" s="216"/>
      <c r="Z818" s="216"/>
      <c r="AA818" s="216"/>
      <c r="AB818" s="216"/>
      <c r="AC818" s="216"/>
      <c r="AE818" s="326"/>
      <c r="AF818" s="326"/>
      <c r="AG818" s="326"/>
      <c r="AH818" s="326"/>
    </row>
    <row r="819" spans="1:35" ht="15.5" x14ac:dyDescent="0.35">
      <c r="A819" s="66"/>
      <c r="B819" s="1150" t="s">
        <v>1280</v>
      </c>
      <c r="C819" s="1151"/>
      <c r="D819" s="1153"/>
      <c r="E819" s="1153"/>
      <c r="F819" s="1153"/>
      <c r="G819" s="1149"/>
      <c r="H819" s="1149"/>
      <c r="I819" s="1149"/>
      <c r="J819" s="1149"/>
      <c r="K819" s="333"/>
      <c r="L819" s="609">
        <v>11428344724</v>
      </c>
      <c r="M819" s="609">
        <v>11443436050</v>
      </c>
      <c r="N819" s="251"/>
      <c r="O819" s="250"/>
      <c r="P819" s="250"/>
      <c r="Q819" s="250"/>
      <c r="R819" s="216"/>
      <c r="S819" s="216"/>
      <c r="T819" s="216"/>
      <c r="U819" s="216"/>
      <c r="V819" s="216"/>
      <c r="W819" s="216"/>
      <c r="X819" s="216"/>
      <c r="Y819" s="216"/>
      <c r="Z819" s="216"/>
      <c r="AA819" s="216"/>
      <c r="AB819" s="216"/>
      <c r="AC819" s="216"/>
      <c r="AE819" s="326"/>
      <c r="AF819" s="326"/>
      <c r="AG819" s="326"/>
      <c r="AH819" s="326"/>
    </row>
    <row r="820" spans="1:35" ht="15.5" x14ac:dyDescent="0.35">
      <c r="A820" s="66"/>
      <c r="B820" s="1150" t="s">
        <v>1281</v>
      </c>
      <c r="C820" s="1151"/>
      <c r="D820" s="1153"/>
      <c r="E820" s="1153"/>
      <c r="F820" s="1153"/>
      <c r="G820" s="1149"/>
      <c r="H820" s="1149"/>
      <c r="I820" s="1149"/>
      <c r="J820" s="1149"/>
      <c r="K820" s="333"/>
      <c r="L820" s="1371">
        <v>577057392</v>
      </c>
      <c r="M820" s="1371">
        <v>15265066867</v>
      </c>
      <c r="N820" s="251"/>
      <c r="O820" s="250"/>
      <c r="P820" s="250"/>
      <c r="Q820" s="250"/>
      <c r="R820" s="216"/>
      <c r="S820" s="216"/>
      <c r="T820" s="216"/>
      <c r="U820" s="216"/>
      <c r="V820" s="216"/>
      <c r="W820" s="216"/>
      <c r="X820" s="216"/>
      <c r="Y820" s="216"/>
      <c r="Z820" s="216"/>
      <c r="AA820" s="216"/>
      <c r="AB820" s="216"/>
      <c r="AC820" s="216"/>
      <c r="AE820" s="326"/>
      <c r="AF820" s="326"/>
      <c r="AG820" s="326"/>
      <c r="AH820" s="326"/>
    </row>
    <row r="821" spans="1:35" ht="15.5" x14ac:dyDescent="0.35">
      <c r="A821" s="66"/>
      <c r="B821" s="1150" t="s">
        <v>1282</v>
      </c>
      <c r="C821" s="1151"/>
      <c r="D821" s="1153"/>
      <c r="E821" s="1172"/>
      <c r="F821" s="1157"/>
      <c r="G821" s="1149"/>
      <c r="H821" s="1149"/>
      <c r="I821" s="1149"/>
      <c r="J821" s="1149"/>
      <c r="K821" s="333"/>
      <c r="L821" s="629">
        <f>L809+L820</f>
        <v>23766101180</v>
      </c>
      <c r="M821" s="630">
        <f>M809+M820</f>
        <v>23189043788</v>
      </c>
      <c r="N821" s="251"/>
      <c r="O821" s="250"/>
      <c r="P821" s="250"/>
      <c r="Q821" s="250"/>
      <c r="R821" s="216"/>
      <c r="S821" s="216"/>
      <c r="T821" s="216"/>
      <c r="U821" s="216"/>
      <c r="V821" s="216"/>
      <c r="W821" s="216"/>
      <c r="X821" s="216"/>
      <c r="Y821" s="216"/>
      <c r="Z821" s="216"/>
      <c r="AA821" s="216"/>
      <c r="AB821" s="216"/>
      <c r="AC821" s="216"/>
      <c r="AE821" s="326"/>
      <c r="AF821" s="326"/>
      <c r="AG821" s="326"/>
      <c r="AH821" s="326"/>
    </row>
    <row r="822" spans="1:35" ht="5.25" customHeight="1" thickBot="1" x14ac:dyDescent="0.4">
      <c r="A822" s="66"/>
      <c r="B822" s="1173"/>
      <c r="C822" s="1166"/>
      <c r="D822" s="1166"/>
      <c r="E822" s="1166"/>
      <c r="F822" s="1166"/>
      <c r="G822" s="1149"/>
      <c r="H822" s="1149"/>
      <c r="I822" s="1149"/>
      <c r="J822" s="1149"/>
      <c r="K822" s="334"/>
      <c r="L822" s="631"/>
      <c r="M822" s="631"/>
      <c r="N822" s="251"/>
      <c r="O822" s="250"/>
      <c r="P822" s="250"/>
      <c r="Q822" s="250"/>
      <c r="R822" s="216"/>
      <c r="S822" s="216"/>
      <c r="T822" s="216"/>
      <c r="U822" s="216"/>
      <c r="V822" s="216"/>
      <c r="W822" s="216"/>
      <c r="X822" s="216"/>
      <c r="Y822" s="216"/>
      <c r="Z822" s="216"/>
      <c r="AA822" s="216"/>
      <c r="AB822" s="216"/>
      <c r="AC822" s="216"/>
      <c r="AE822" s="326"/>
      <c r="AF822" s="326"/>
      <c r="AG822" s="326"/>
      <c r="AH822" s="326"/>
    </row>
    <row r="823" spans="1:35" ht="16" thickTop="1" x14ac:dyDescent="0.35">
      <c r="A823" s="66"/>
      <c r="B823" s="249"/>
      <c r="C823" s="250"/>
      <c r="D823" s="250"/>
      <c r="E823" s="250"/>
      <c r="F823" s="250"/>
      <c r="G823" s="250"/>
      <c r="H823" s="250"/>
      <c r="I823" s="251"/>
      <c r="J823" s="251"/>
      <c r="K823" s="251"/>
      <c r="L823" s="251"/>
      <c r="M823" s="251"/>
      <c r="N823" s="251"/>
      <c r="O823" s="250"/>
      <c r="P823" s="250"/>
      <c r="Q823" s="250"/>
      <c r="R823" s="216"/>
      <c r="S823" s="216"/>
      <c r="T823" s="216"/>
      <c r="U823" s="216"/>
      <c r="V823" s="216"/>
      <c r="W823" s="216"/>
      <c r="X823" s="216"/>
      <c r="Y823" s="216"/>
      <c r="Z823" s="216"/>
      <c r="AA823" s="216"/>
      <c r="AB823" s="216"/>
      <c r="AC823" s="216"/>
    </row>
    <row r="824" spans="1:35" ht="25.5" x14ac:dyDescent="0.3">
      <c r="A824" s="66"/>
      <c r="B824" s="1849"/>
      <c r="C824" s="1849"/>
      <c r="D824" s="1849"/>
      <c r="E824" s="1849"/>
      <c r="F824" s="1849"/>
      <c r="G824" s="1849"/>
      <c r="H824" s="1849"/>
      <c r="I824" s="1849"/>
      <c r="J824" s="1849"/>
      <c r="K824" s="1849"/>
      <c r="L824" s="1849"/>
      <c r="M824" s="1849"/>
      <c r="N824" s="1849"/>
      <c r="O824" s="1849"/>
      <c r="P824" s="1849"/>
      <c r="Q824" s="1849"/>
      <c r="R824" s="1849"/>
      <c r="S824" s="1849"/>
      <c r="T824" s="1849"/>
      <c r="U824" s="1849"/>
      <c r="V824" s="1849"/>
      <c r="W824" s="1849"/>
      <c r="X824" s="1849"/>
      <c r="Y824" s="1849"/>
      <c r="Z824" s="1849"/>
      <c r="AA824" s="1849"/>
      <c r="AB824" s="1849"/>
      <c r="AC824" s="1849"/>
    </row>
    <row r="825" spans="1:35" ht="25.5" x14ac:dyDescent="0.3">
      <c r="B825" s="1849"/>
      <c r="C825" s="1849"/>
      <c r="D825" s="1849"/>
      <c r="E825" s="1849"/>
      <c r="F825" s="1849"/>
      <c r="G825" s="1849"/>
      <c r="H825" s="1849"/>
      <c r="I825" s="1849"/>
      <c r="J825" s="1849"/>
      <c r="K825" s="1849"/>
      <c r="L825" s="1849"/>
      <c r="M825" s="1849"/>
      <c r="N825" s="1849"/>
      <c r="O825" s="1849"/>
      <c r="P825" s="1849"/>
      <c r="Q825" s="1849"/>
      <c r="R825" s="1849"/>
      <c r="S825" s="1849"/>
      <c r="T825" s="1849"/>
      <c r="U825" s="1849"/>
      <c r="V825" s="1849"/>
      <c r="W825" s="1849"/>
      <c r="X825" s="1849"/>
      <c r="Y825" s="1849"/>
      <c r="Z825" s="1849"/>
      <c r="AA825" s="1849"/>
      <c r="AB825" s="1849"/>
      <c r="AC825" s="1849"/>
      <c r="AD825" s="189"/>
      <c r="AE825" s="190"/>
      <c r="AF825" s="191"/>
      <c r="AG825" s="190"/>
      <c r="AH825" s="190"/>
      <c r="AI825" s="189"/>
    </row>
    <row r="829" spans="1:35" ht="15.5" hidden="1" x14ac:dyDescent="0.35">
      <c r="D829" s="70"/>
      <c r="E829" s="366" t="s">
        <v>839</v>
      </c>
      <c r="F829" s="367"/>
      <c r="G829" s="387" t="s">
        <v>985</v>
      </c>
      <c r="H829" s="364" t="s">
        <v>359</v>
      </c>
      <c r="I829" s="391" t="s">
        <v>400</v>
      </c>
    </row>
    <row r="830" spans="1:35" ht="15.5" hidden="1" x14ac:dyDescent="0.35">
      <c r="E830" s="368" t="s">
        <v>841</v>
      </c>
      <c r="F830" s="367"/>
      <c r="G830" s="387" t="s">
        <v>986</v>
      </c>
      <c r="H830" s="364" t="s">
        <v>362</v>
      </c>
      <c r="I830" s="391" t="s">
        <v>360</v>
      </c>
    </row>
    <row r="831" spans="1:35" ht="15.5" hidden="1" x14ac:dyDescent="0.35">
      <c r="E831" s="369" t="s">
        <v>843</v>
      </c>
      <c r="F831" s="367"/>
      <c r="G831" s="387" t="s">
        <v>987</v>
      </c>
      <c r="H831" s="389" t="s">
        <v>363</v>
      </c>
      <c r="I831" s="391" t="s">
        <v>402</v>
      </c>
    </row>
    <row r="832" spans="1:35" ht="15.5" hidden="1" x14ac:dyDescent="0.35">
      <c r="E832" s="369" t="s">
        <v>845</v>
      </c>
      <c r="F832" s="367"/>
      <c r="G832" s="387" t="s">
        <v>988</v>
      </c>
      <c r="H832" s="389" t="s">
        <v>365</v>
      </c>
      <c r="I832" s="392" t="s">
        <v>923</v>
      </c>
    </row>
    <row r="833" spans="5:35" ht="15.5" hidden="1" x14ac:dyDescent="0.35">
      <c r="E833" s="369" t="s">
        <v>847</v>
      </c>
      <c r="F833" s="367"/>
      <c r="G833" s="387" t="s">
        <v>989</v>
      </c>
      <c r="H833" s="364" t="s">
        <v>367</v>
      </c>
      <c r="I833" s="391" t="s">
        <v>410</v>
      </c>
    </row>
    <row r="834" spans="5:35" ht="15.5" hidden="1" x14ac:dyDescent="0.35">
      <c r="E834" s="369" t="s">
        <v>848</v>
      </c>
      <c r="F834" s="367"/>
      <c r="G834" s="387" t="s">
        <v>990</v>
      </c>
      <c r="H834" s="364" t="s">
        <v>369</v>
      </c>
      <c r="I834" s="68"/>
    </row>
    <row r="835" spans="5:35" ht="15.5" hidden="1" x14ac:dyDescent="0.35">
      <c r="E835" s="369" t="s">
        <v>850</v>
      </c>
      <c r="F835" s="367"/>
      <c r="G835" s="387" t="s">
        <v>991</v>
      </c>
      <c r="H835" s="364" t="s">
        <v>371</v>
      </c>
      <c r="I835" s="68"/>
    </row>
    <row r="836" spans="5:35" ht="15.5" hidden="1" x14ac:dyDescent="0.35">
      <c r="E836" s="369" t="s">
        <v>225</v>
      </c>
      <c r="F836" s="367"/>
      <c r="G836" s="387" t="s">
        <v>992</v>
      </c>
      <c r="H836" s="364" t="s">
        <v>373</v>
      </c>
      <c r="I836" s="68"/>
      <c r="AB836" s="86"/>
      <c r="AC836" s="192"/>
      <c r="AD836" s="192"/>
      <c r="AE836" s="193"/>
      <c r="AF836" s="194"/>
      <c r="AG836" s="193"/>
      <c r="AH836" s="193"/>
      <c r="AI836" s="192"/>
    </row>
    <row r="837" spans="5:35" ht="15.5" hidden="1" x14ac:dyDescent="0.35">
      <c r="E837" s="369" t="s">
        <v>227</v>
      </c>
      <c r="F837" s="367"/>
      <c r="G837" s="388" t="s">
        <v>1306</v>
      </c>
      <c r="H837" s="364" t="s">
        <v>375</v>
      </c>
      <c r="I837" s="68"/>
    </row>
    <row r="838" spans="5:35" ht="15.5" hidden="1" x14ac:dyDescent="0.35">
      <c r="E838" s="369" t="s">
        <v>853</v>
      </c>
      <c r="F838" s="367"/>
      <c r="G838" s="387" t="s">
        <v>995</v>
      </c>
      <c r="H838" s="364" t="s">
        <v>377</v>
      </c>
      <c r="I838" s="73"/>
    </row>
    <row r="839" spans="5:35" ht="15.5" hidden="1" x14ac:dyDescent="0.35">
      <c r="E839" s="369" t="s">
        <v>855</v>
      </c>
      <c r="F839" s="367"/>
      <c r="G839" s="387" t="s">
        <v>996</v>
      </c>
      <c r="H839" s="364" t="s">
        <v>379</v>
      </c>
      <c r="I839" s="68"/>
    </row>
    <row r="840" spans="5:35" ht="15.5" hidden="1" x14ac:dyDescent="0.35">
      <c r="E840" s="369" t="s">
        <v>857</v>
      </c>
      <c r="F840" s="367"/>
      <c r="G840" s="387" t="s">
        <v>997</v>
      </c>
      <c r="H840" s="364" t="s">
        <v>381</v>
      </c>
      <c r="I840" s="76"/>
    </row>
    <row r="841" spans="5:35" ht="15.5" hidden="1" x14ac:dyDescent="0.35">
      <c r="E841" s="369" t="s">
        <v>859</v>
      </c>
      <c r="F841" s="367"/>
      <c r="G841" s="387" t="s">
        <v>999</v>
      </c>
      <c r="H841" s="364" t="s">
        <v>382</v>
      </c>
      <c r="I841" s="68"/>
    </row>
    <row r="842" spans="5:35" ht="15.5" hidden="1" x14ac:dyDescent="0.35">
      <c r="E842" s="369" t="s">
        <v>860</v>
      </c>
      <c r="F842" s="367"/>
      <c r="G842" s="387" t="s">
        <v>1000</v>
      </c>
      <c r="H842" s="364" t="s">
        <v>383</v>
      </c>
      <c r="I842" s="68"/>
    </row>
    <row r="843" spans="5:35" ht="15.5" hidden="1" x14ac:dyDescent="0.35">
      <c r="E843" s="369" t="s">
        <v>146</v>
      </c>
      <c r="F843" s="367"/>
      <c r="G843" s="387" t="s">
        <v>1001</v>
      </c>
      <c r="H843" s="364" t="s">
        <v>384</v>
      </c>
      <c r="I843" s="68"/>
    </row>
    <row r="844" spans="5:35" ht="15.5" hidden="1" x14ac:dyDescent="0.35">
      <c r="E844" s="369" t="s">
        <v>863</v>
      </c>
      <c r="F844" s="367"/>
      <c r="G844" s="387" t="s">
        <v>1002</v>
      </c>
      <c r="H844" s="364" t="s">
        <v>385</v>
      </c>
      <c r="I844" s="68"/>
    </row>
    <row r="845" spans="5:35" ht="15.5" hidden="1" x14ac:dyDescent="0.35">
      <c r="E845" s="369" t="s">
        <v>864</v>
      </c>
      <c r="F845" s="367"/>
      <c r="G845" s="387" t="s">
        <v>1003</v>
      </c>
      <c r="H845" s="364" t="s">
        <v>386</v>
      </c>
      <c r="I845" s="68"/>
    </row>
    <row r="846" spans="5:35" ht="15.5" hidden="1" x14ac:dyDescent="0.35">
      <c r="E846" s="369" t="s">
        <v>866</v>
      </c>
      <c r="F846" s="367"/>
      <c r="G846" s="387" t="s">
        <v>1311</v>
      </c>
      <c r="H846" s="364" t="s">
        <v>387</v>
      </c>
      <c r="I846" s="68"/>
    </row>
    <row r="847" spans="5:35" ht="15.5" hidden="1" x14ac:dyDescent="0.35">
      <c r="E847" s="369" t="s">
        <v>867</v>
      </c>
      <c r="F847" s="367"/>
      <c r="G847" s="387" t="s">
        <v>1313</v>
      </c>
      <c r="H847" s="364" t="s">
        <v>388</v>
      </c>
      <c r="I847" s="68"/>
      <c r="AB847" s="86"/>
      <c r="AC847" s="189"/>
      <c r="AD847" s="189"/>
      <c r="AE847" s="190"/>
      <c r="AF847" s="191"/>
      <c r="AG847" s="190"/>
      <c r="AH847" s="190"/>
      <c r="AI847" s="189"/>
    </row>
    <row r="848" spans="5:35" ht="15.5" hidden="1" x14ac:dyDescent="0.35">
      <c r="E848" s="369" t="s">
        <v>869</v>
      </c>
      <c r="F848" s="367"/>
      <c r="G848" s="387" t="s">
        <v>1315</v>
      </c>
      <c r="H848" s="364" t="s">
        <v>389</v>
      </c>
      <c r="I848" s="68"/>
    </row>
    <row r="849" spans="5:35" ht="15.5" hidden="1" x14ac:dyDescent="0.35">
      <c r="E849" s="369" t="s">
        <v>870</v>
      </c>
      <c r="F849" s="367"/>
      <c r="G849" s="387" t="s">
        <v>1317</v>
      </c>
      <c r="H849" s="364" t="s">
        <v>390</v>
      </c>
      <c r="I849" s="68"/>
    </row>
    <row r="850" spans="5:35" ht="15.5" hidden="1" x14ac:dyDescent="0.35">
      <c r="E850" s="369" t="s">
        <v>1291</v>
      </c>
      <c r="F850" s="367"/>
      <c r="G850" s="387" t="s">
        <v>1319</v>
      </c>
      <c r="H850" s="364" t="s">
        <v>391</v>
      </c>
      <c r="I850" s="68"/>
    </row>
    <row r="851" spans="5:35" ht="15.5" hidden="1" x14ac:dyDescent="0.35">
      <c r="E851" s="369" t="s">
        <v>871</v>
      </c>
      <c r="F851" s="367"/>
      <c r="G851" s="387" t="s">
        <v>1393</v>
      </c>
      <c r="H851" s="364" t="s">
        <v>392</v>
      </c>
      <c r="I851" s="68"/>
      <c r="AB851" s="86"/>
      <c r="AC851" s="189"/>
      <c r="AD851" s="189"/>
      <c r="AE851" s="190"/>
      <c r="AF851" s="195"/>
      <c r="AG851" s="190"/>
      <c r="AH851" s="190"/>
      <c r="AI851" s="189"/>
    </row>
    <row r="852" spans="5:35" ht="15.5" hidden="1" x14ac:dyDescent="0.35">
      <c r="E852" s="369" t="s">
        <v>873</v>
      </c>
      <c r="F852" s="367"/>
      <c r="G852" s="387" t="s">
        <v>1322</v>
      </c>
      <c r="H852" s="364" t="s">
        <v>393</v>
      </c>
      <c r="I852" s="68"/>
    </row>
    <row r="853" spans="5:35" ht="15.5" hidden="1" x14ac:dyDescent="0.35">
      <c r="E853" s="369" t="s">
        <v>1293</v>
      </c>
      <c r="F853" s="367"/>
      <c r="G853" s="387" t="s">
        <v>1324</v>
      </c>
      <c r="H853" s="364" t="s">
        <v>395</v>
      </c>
      <c r="I853" s="68"/>
    </row>
    <row r="854" spans="5:35" ht="15.5" hidden="1" x14ac:dyDescent="0.35">
      <c r="E854" s="369" t="s">
        <v>875</v>
      </c>
      <c r="F854" s="367"/>
      <c r="G854" s="387" t="s">
        <v>1326</v>
      </c>
      <c r="H854" s="364" t="s">
        <v>397</v>
      </c>
      <c r="I854" s="68"/>
    </row>
    <row r="855" spans="5:35" ht="15.5" hidden="1" x14ac:dyDescent="0.35">
      <c r="E855" s="369" t="s">
        <v>877</v>
      </c>
      <c r="F855" s="367"/>
      <c r="G855" s="387" t="s">
        <v>1004</v>
      </c>
      <c r="H855" s="364" t="s">
        <v>399</v>
      </c>
      <c r="I855" s="68"/>
    </row>
    <row r="856" spans="5:35" ht="15.5" hidden="1" x14ac:dyDescent="0.35">
      <c r="E856" s="369" t="s">
        <v>879</v>
      </c>
      <c r="F856" s="367"/>
      <c r="G856" s="387" t="s">
        <v>1005</v>
      </c>
      <c r="H856" s="365" t="s">
        <v>1394</v>
      </c>
      <c r="I856" s="68"/>
    </row>
    <row r="857" spans="5:35" ht="15.5" hidden="1" x14ac:dyDescent="0.35">
      <c r="E857" s="369" t="s">
        <v>880</v>
      </c>
      <c r="F857" s="367"/>
      <c r="G857" s="387" t="s">
        <v>1006</v>
      </c>
      <c r="H857" s="364" t="s">
        <v>403</v>
      </c>
      <c r="I857" s="68"/>
      <c r="V857" s="196"/>
      <c r="W857" s="196"/>
    </row>
    <row r="858" spans="5:35" ht="15.5" hidden="1" x14ac:dyDescent="0.35">
      <c r="E858" s="369" t="s">
        <v>882</v>
      </c>
      <c r="F858" s="367"/>
      <c r="G858" s="387" t="s">
        <v>1007</v>
      </c>
      <c r="H858" s="364" t="s">
        <v>405</v>
      </c>
      <c r="I858" s="68"/>
      <c r="V858" s="196"/>
      <c r="W858" s="196"/>
    </row>
    <row r="859" spans="5:35" ht="15.5" hidden="1" x14ac:dyDescent="0.35">
      <c r="E859" s="369" t="s">
        <v>884</v>
      </c>
      <c r="F859" s="367"/>
      <c r="G859" s="387" t="s">
        <v>1008</v>
      </c>
      <c r="H859" s="364" t="s">
        <v>407</v>
      </c>
      <c r="I859" s="68"/>
      <c r="V859" s="196"/>
      <c r="W859" s="196"/>
      <c r="AB859" s="86"/>
      <c r="AC859" s="189"/>
      <c r="AD859" s="189"/>
      <c r="AE859" s="190"/>
      <c r="AF859" s="191"/>
      <c r="AG859" s="190"/>
      <c r="AH859" s="190"/>
      <c r="AI859" s="189"/>
    </row>
    <row r="860" spans="5:35" ht="15.5" hidden="1" x14ac:dyDescent="0.35">
      <c r="E860" s="369" t="s">
        <v>886</v>
      </c>
      <c r="F860" s="367"/>
      <c r="G860" s="387" t="s">
        <v>1009</v>
      </c>
      <c r="H860" s="364" t="s">
        <v>1395</v>
      </c>
      <c r="I860" s="68"/>
      <c r="V860" s="196"/>
      <c r="W860" s="196"/>
    </row>
    <row r="861" spans="5:35" ht="15.5" hidden="1" x14ac:dyDescent="0.35">
      <c r="E861" s="369" t="s">
        <v>888</v>
      </c>
      <c r="F861" s="367"/>
      <c r="G861" s="387" t="s">
        <v>1010</v>
      </c>
      <c r="H861" s="364" t="s">
        <v>409</v>
      </c>
      <c r="I861" s="68"/>
      <c r="V861" s="196"/>
      <c r="W861" s="196"/>
    </row>
    <row r="862" spans="5:35" ht="15.5" hidden="1" x14ac:dyDescent="0.35">
      <c r="E862" s="369" t="s">
        <v>890</v>
      </c>
      <c r="F862" s="367"/>
      <c r="G862" s="387" t="s">
        <v>1011</v>
      </c>
      <c r="H862" s="364" t="s">
        <v>411</v>
      </c>
      <c r="I862" s="68"/>
      <c r="V862" s="196"/>
      <c r="W862" s="196"/>
    </row>
    <row r="863" spans="5:35" ht="15.5" hidden="1" x14ac:dyDescent="0.35">
      <c r="E863" s="369" t="s">
        <v>1296</v>
      </c>
      <c r="F863" s="367"/>
      <c r="G863" s="387" t="s">
        <v>1012</v>
      </c>
      <c r="H863" s="364" t="s">
        <v>415</v>
      </c>
      <c r="I863" s="68"/>
    </row>
    <row r="864" spans="5:35" ht="15.5" hidden="1" x14ac:dyDescent="0.35">
      <c r="E864" s="369" t="s">
        <v>892</v>
      </c>
      <c r="F864" s="367"/>
      <c r="G864" s="387" t="s">
        <v>1013</v>
      </c>
      <c r="H864" s="364" t="s">
        <v>417</v>
      </c>
      <c r="I864" s="68"/>
    </row>
    <row r="865" spans="5:34" ht="15.5" hidden="1" x14ac:dyDescent="0.35">
      <c r="E865" s="369" t="s">
        <v>894</v>
      </c>
      <c r="F865" s="367"/>
      <c r="G865" s="387" t="s">
        <v>1014</v>
      </c>
      <c r="H865" s="364" t="s">
        <v>1396</v>
      </c>
      <c r="I865" s="68"/>
    </row>
    <row r="866" spans="5:34" ht="15.5" hidden="1" x14ac:dyDescent="0.35">
      <c r="E866" s="369" t="s">
        <v>896</v>
      </c>
      <c r="F866" s="367"/>
      <c r="G866" s="387" t="s">
        <v>1015</v>
      </c>
      <c r="H866" s="364" t="s">
        <v>413</v>
      </c>
      <c r="I866" s="68"/>
    </row>
    <row r="867" spans="5:34" ht="15.5" hidden="1" x14ac:dyDescent="0.35">
      <c r="E867" s="369" t="s">
        <v>898</v>
      </c>
      <c r="F867" s="367"/>
      <c r="G867" s="387" t="s">
        <v>1016</v>
      </c>
      <c r="H867" s="390" t="s">
        <v>418</v>
      </c>
      <c r="I867" s="68"/>
      <c r="N867" s="197"/>
      <c r="O867" s="87"/>
    </row>
    <row r="868" spans="5:34" ht="15.5" hidden="1" x14ac:dyDescent="0.35">
      <c r="E868" s="369" t="s">
        <v>900</v>
      </c>
      <c r="F868" s="367"/>
      <c r="G868" s="387" t="s">
        <v>1017</v>
      </c>
      <c r="H868" s="390" t="s">
        <v>1397</v>
      </c>
      <c r="I868" s="341"/>
      <c r="N868" s="197"/>
      <c r="O868" s="87"/>
      <c r="AE868" s="341"/>
      <c r="AF868" s="341"/>
      <c r="AG868" s="341"/>
      <c r="AH868" s="341"/>
    </row>
    <row r="869" spans="5:34" ht="15.5" hidden="1" x14ac:dyDescent="0.35">
      <c r="E869" s="369" t="s">
        <v>902</v>
      </c>
      <c r="F869" s="367"/>
      <c r="G869" s="387" t="s">
        <v>1018</v>
      </c>
      <c r="H869" s="390" t="s">
        <v>1398</v>
      </c>
      <c r="I869" s="341"/>
      <c r="N869" s="197"/>
      <c r="O869" s="87"/>
      <c r="AE869" s="341"/>
      <c r="AF869" s="341"/>
      <c r="AG869" s="341"/>
      <c r="AH869" s="341"/>
    </row>
    <row r="870" spans="5:34" ht="15.5" hidden="1" x14ac:dyDescent="0.35">
      <c r="E870" s="369" t="s">
        <v>904</v>
      </c>
      <c r="F870" s="367"/>
      <c r="G870" s="387" t="s">
        <v>1019</v>
      </c>
      <c r="H870" s="390" t="s">
        <v>1399</v>
      </c>
      <c r="I870" s="341"/>
      <c r="N870" s="197"/>
      <c r="O870" s="87"/>
      <c r="AE870" s="341"/>
      <c r="AF870" s="341"/>
      <c r="AG870" s="341"/>
      <c r="AH870" s="341"/>
    </row>
    <row r="871" spans="5:34" ht="15.5" hidden="1" x14ac:dyDescent="0.35">
      <c r="E871" s="369" t="s">
        <v>906</v>
      </c>
      <c r="F871" s="367"/>
      <c r="G871" s="387" t="s">
        <v>1020</v>
      </c>
      <c r="H871" s="364" t="s">
        <v>419</v>
      </c>
      <c r="I871" s="341"/>
      <c r="N871" s="197"/>
      <c r="O871" s="87"/>
      <c r="AE871" s="341"/>
      <c r="AF871" s="341"/>
      <c r="AG871" s="341"/>
      <c r="AH871" s="341"/>
    </row>
    <row r="872" spans="5:34" ht="15.5" hidden="1" x14ac:dyDescent="0.35">
      <c r="E872" s="369" t="s">
        <v>907</v>
      </c>
      <c r="F872" s="367"/>
      <c r="G872" s="387" t="s">
        <v>1331</v>
      </c>
      <c r="H872" s="364" t="s">
        <v>421</v>
      </c>
      <c r="I872" s="341"/>
      <c r="N872" s="197"/>
      <c r="O872" s="87"/>
      <c r="AE872" s="341"/>
      <c r="AF872" s="341"/>
      <c r="AG872" s="341"/>
      <c r="AH872" s="341"/>
    </row>
    <row r="873" spans="5:34" ht="15.5" hidden="1" x14ac:dyDescent="0.35">
      <c r="E873" s="369" t="s">
        <v>909</v>
      </c>
      <c r="F873" s="367"/>
      <c r="G873" s="387" t="s">
        <v>1021</v>
      </c>
      <c r="H873" s="364" t="s">
        <v>1163</v>
      </c>
      <c r="I873" s="341"/>
      <c r="N873" s="197"/>
      <c r="O873" s="87"/>
      <c r="AE873" s="341"/>
      <c r="AF873" s="341"/>
      <c r="AG873" s="341"/>
      <c r="AH873" s="341"/>
    </row>
    <row r="874" spans="5:34" ht="15.5" hidden="1" x14ac:dyDescent="0.35">
      <c r="E874" s="369" t="s">
        <v>911</v>
      </c>
      <c r="F874" s="367"/>
      <c r="G874" s="387" t="s">
        <v>1022</v>
      </c>
      <c r="H874" s="364" t="s">
        <v>1164</v>
      </c>
      <c r="I874" s="341"/>
      <c r="N874" s="197"/>
      <c r="O874" s="87"/>
      <c r="AE874" s="341"/>
      <c r="AF874" s="341"/>
      <c r="AG874" s="341"/>
      <c r="AH874" s="341"/>
    </row>
    <row r="875" spans="5:34" ht="15.5" hidden="1" x14ac:dyDescent="0.35">
      <c r="E875" s="369" t="s">
        <v>1299</v>
      </c>
      <c r="F875" s="367"/>
      <c r="G875" s="387" t="s">
        <v>1023</v>
      </c>
      <c r="H875" s="364" t="s">
        <v>1165</v>
      </c>
      <c r="I875" s="68"/>
    </row>
    <row r="876" spans="5:34" ht="15.5" hidden="1" x14ac:dyDescent="0.35">
      <c r="E876" s="369" t="s">
        <v>1162</v>
      </c>
      <c r="F876" s="367"/>
      <c r="G876" s="387" t="s">
        <v>1024</v>
      </c>
      <c r="H876" s="364" t="s">
        <v>1166</v>
      </c>
      <c r="I876" s="68"/>
    </row>
    <row r="877" spans="5:34" ht="15.5" hidden="1" x14ac:dyDescent="0.35">
      <c r="E877" s="369" t="s">
        <v>913</v>
      </c>
      <c r="F877" s="367"/>
      <c r="G877" s="387" t="s">
        <v>1025</v>
      </c>
      <c r="H877" s="364" t="s">
        <v>427</v>
      </c>
      <c r="I877" s="68"/>
      <c r="V877" s="198"/>
      <c r="W877" s="198"/>
    </row>
    <row r="878" spans="5:34" ht="15.5" hidden="1" x14ac:dyDescent="0.35">
      <c r="E878" s="370" t="s">
        <v>915</v>
      </c>
      <c r="F878" s="367"/>
      <c r="G878" s="387" t="s">
        <v>1026</v>
      </c>
      <c r="H878" s="364" t="s">
        <v>1400</v>
      </c>
      <c r="I878" s="68"/>
    </row>
    <row r="879" spans="5:34" ht="15.5" hidden="1" x14ac:dyDescent="0.35">
      <c r="E879" s="371" t="s">
        <v>917</v>
      </c>
      <c r="F879" s="367"/>
      <c r="G879" s="387" t="s">
        <v>1027</v>
      </c>
      <c r="H879" s="364" t="s">
        <v>1401</v>
      </c>
      <c r="I879" s="68"/>
    </row>
    <row r="880" spans="5:34" ht="15.5" hidden="1" x14ac:dyDescent="0.35">
      <c r="E880" s="372"/>
      <c r="F880" s="367"/>
      <c r="G880" s="387" t="s">
        <v>1028</v>
      </c>
      <c r="H880" s="364" t="s">
        <v>1402</v>
      </c>
      <c r="I880" s="68"/>
    </row>
    <row r="881" spans="2:9" ht="15.5" hidden="1" x14ac:dyDescent="0.35">
      <c r="E881" s="372"/>
      <c r="F881" s="367"/>
      <c r="G881" s="387" t="s">
        <v>1029</v>
      </c>
      <c r="H881" s="364" t="s">
        <v>1403</v>
      </c>
      <c r="I881" s="68"/>
    </row>
    <row r="882" spans="2:9" ht="15.5" hidden="1" x14ac:dyDescent="0.35">
      <c r="B882" s="68"/>
      <c r="E882" s="372"/>
      <c r="F882" s="367"/>
      <c r="G882" s="387" t="s">
        <v>1030</v>
      </c>
      <c r="H882" s="364" t="s">
        <v>1404</v>
      </c>
      <c r="I882" s="68"/>
    </row>
    <row r="883" spans="2:9" ht="15.5" hidden="1" x14ac:dyDescent="0.35">
      <c r="B883" s="68"/>
      <c r="E883" s="367"/>
      <c r="F883" s="367"/>
      <c r="G883" s="387" t="s">
        <v>1336</v>
      </c>
      <c r="H883" s="364" t="s">
        <v>1405</v>
      </c>
      <c r="I883" s="68"/>
    </row>
    <row r="884" spans="2:9" ht="15.5" hidden="1" x14ac:dyDescent="0.35">
      <c r="B884" s="68"/>
      <c r="E884" s="367"/>
      <c r="F884" s="367"/>
      <c r="G884" s="387" t="s">
        <v>1168</v>
      </c>
      <c r="H884" s="364" t="s">
        <v>1406</v>
      </c>
      <c r="I884" s="68"/>
    </row>
    <row r="885" spans="2:9" ht="15.5" hidden="1" x14ac:dyDescent="0.35">
      <c r="B885" s="68"/>
      <c r="E885" s="367"/>
      <c r="F885" s="367"/>
      <c r="G885" s="387" t="s">
        <v>1169</v>
      </c>
      <c r="H885" s="364" t="s">
        <v>1407</v>
      </c>
      <c r="I885" s="68"/>
    </row>
    <row r="886" spans="2:9" ht="15.5" hidden="1" x14ac:dyDescent="0.35">
      <c r="B886" s="68"/>
      <c r="E886" s="367"/>
      <c r="F886" s="367"/>
      <c r="G886" s="387" t="s">
        <v>1139</v>
      </c>
      <c r="H886" s="364" t="s">
        <v>1408</v>
      </c>
      <c r="I886" s="68"/>
    </row>
    <row r="887" spans="2:9" ht="15.5" hidden="1" x14ac:dyDescent="0.35">
      <c r="B887" s="68"/>
      <c r="E887" s="367"/>
      <c r="F887" s="367"/>
      <c r="G887" s="387" t="s">
        <v>1031</v>
      </c>
      <c r="H887" s="364" t="s">
        <v>1409</v>
      </c>
      <c r="I887" s="81"/>
    </row>
    <row r="888" spans="2:9" ht="15.5" hidden="1" x14ac:dyDescent="0.35">
      <c r="B888" s="81"/>
      <c r="E888" s="367"/>
      <c r="F888" s="367"/>
      <c r="G888" s="387" t="s">
        <v>1032</v>
      </c>
      <c r="H888" s="364" t="s">
        <v>1410</v>
      </c>
      <c r="I888" s="83"/>
    </row>
    <row r="889" spans="2:9" ht="15.5" hidden="1" x14ac:dyDescent="0.35">
      <c r="B889" s="83"/>
      <c r="E889" s="367"/>
      <c r="F889" s="367"/>
      <c r="G889" s="387" t="s">
        <v>1033</v>
      </c>
      <c r="H889" s="364" t="s">
        <v>1411</v>
      </c>
      <c r="I889" s="83"/>
    </row>
    <row r="890" spans="2:9" ht="15.5" hidden="1" x14ac:dyDescent="0.35">
      <c r="B890" s="83"/>
      <c r="E890" s="367"/>
      <c r="F890" s="367"/>
      <c r="G890" s="387" t="s">
        <v>1034</v>
      </c>
      <c r="H890" s="364" t="s">
        <v>1412</v>
      </c>
      <c r="I890" s="83"/>
    </row>
    <row r="891" spans="2:9" ht="15.5" hidden="1" x14ac:dyDescent="0.35">
      <c r="B891" s="83"/>
      <c r="E891" s="367"/>
      <c r="F891" s="367"/>
      <c r="G891" s="387" t="s">
        <v>1035</v>
      </c>
      <c r="H891" s="364" t="s">
        <v>1413</v>
      </c>
      <c r="I891" s="83"/>
    </row>
    <row r="892" spans="2:9" ht="15.5" hidden="1" x14ac:dyDescent="0.35">
      <c r="B892" s="83"/>
      <c r="E892" s="367"/>
      <c r="F892" s="367"/>
      <c r="G892" s="387" t="s">
        <v>1036</v>
      </c>
      <c r="H892" s="364" t="s">
        <v>1414</v>
      </c>
      <c r="I892" s="83"/>
    </row>
    <row r="893" spans="2:9" ht="15.5" hidden="1" x14ac:dyDescent="0.35">
      <c r="B893" s="83"/>
      <c r="E893" s="367"/>
      <c r="F893" s="367"/>
      <c r="G893" s="387" t="s">
        <v>1037</v>
      </c>
      <c r="H893" s="364" t="s">
        <v>1415</v>
      </c>
      <c r="I893" s="83"/>
    </row>
    <row r="894" spans="2:9" ht="15.5" hidden="1" x14ac:dyDescent="0.35">
      <c r="B894" s="83"/>
      <c r="E894" s="367"/>
      <c r="F894" s="367"/>
      <c r="G894" s="387" t="s">
        <v>1038</v>
      </c>
      <c r="H894" s="364" t="s">
        <v>1416</v>
      </c>
      <c r="I894" s="83"/>
    </row>
    <row r="895" spans="2:9" ht="15.5" hidden="1" x14ac:dyDescent="0.35">
      <c r="B895" s="83"/>
      <c r="E895" s="367"/>
      <c r="F895" s="367"/>
      <c r="G895" s="387" t="s">
        <v>1039</v>
      </c>
      <c r="H895" s="364" t="s">
        <v>1417</v>
      </c>
      <c r="I895" s="83"/>
    </row>
    <row r="896" spans="2:9" ht="15.5" hidden="1" x14ac:dyDescent="0.35">
      <c r="B896" s="83"/>
      <c r="E896" s="367"/>
      <c r="F896" s="367"/>
      <c r="G896" s="387" t="s">
        <v>1040</v>
      </c>
      <c r="H896" s="364" t="s">
        <v>434</v>
      </c>
      <c r="I896" s="83"/>
    </row>
    <row r="897" spans="2:9" ht="15.5" hidden="1" x14ac:dyDescent="0.35">
      <c r="B897" s="83"/>
      <c r="E897" s="367"/>
      <c r="F897" s="367"/>
      <c r="G897" s="387" t="s">
        <v>1041</v>
      </c>
      <c r="H897" s="364" t="s">
        <v>436</v>
      </c>
      <c r="I897" s="83"/>
    </row>
    <row r="898" spans="2:9" ht="15.5" hidden="1" x14ac:dyDescent="0.35">
      <c r="B898" s="83"/>
      <c r="E898" s="367"/>
      <c r="F898" s="367"/>
      <c r="G898" s="387" t="s">
        <v>1042</v>
      </c>
      <c r="H898" s="364" t="s">
        <v>438</v>
      </c>
      <c r="I898" s="83"/>
    </row>
    <row r="899" spans="2:9" ht="15.5" hidden="1" x14ac:dyDescent="0.35">
      <c r="B899" s="83"/>
      <c r="E899" s="367"/>
      <c r="F899" s="367"/>
      <c r="G899" s="387" t="s">
        <v>1043</v>
      </c>
      <c r="H899" s="364" t="s">
        <v>440</v>
      </c>
      <c r="I899" s="83"/>
    </row>
    <row r="900" spans="2:9" ht="15.5" hidden="1" x14ac:dyDescent="0.35">
      <c r="B900" s="83"/>
      <c r="E900" s="367"/>
      <c r="F900" s="367"/>
      <c r="G900" s="387" t="s">
        <v>1044</v>
      </c>
      <c r="H900" s="364" t="s">
        <v>442</v>
      </c>
      <c r="I900" s="83"/>
    </row>
    <row r="901" spans="2:9" ht="15.5" hidden="1" x14ac:dyDescent="0.35">
      <c r="B901" s="83"/>
      <c r="E901" s="367"/>
      <c r="F901" s="367"/>
      <c r="G901" s="387" t="s">
        <v>1045</v>
      </c>
      <c r="H901" s="364" t="s">
        <v>444</v>
      </c>
      <c r="I901" s="83"/>
    </row>
    <row r="902" spans="2:9" ht="15.5" hidden="1" x14ac:dyDescent="0.35">
      <c r="B902" s="83"/>
      <c r="E902" s="367"/>
      <c r="F902" s="367"/>
      <c r="G902" s="387" t="s">
        <v>1046</v>
      </c>
      <c r="H902" s="364" t="s">
        <v>170</v>
      </c>
      <c r="I902" s="83"/>
    </row>
    <row r="903" spans="2:9" ht="15.5" hidden="1" x14ac:dyDescent="0.35">
      <c r="B903" s="83"/>
      <c r="E903" s="367"/>
      <c r="F903" s="367"/>
      <c r="G903" s="387" t="s">
        <v>1047</v>
      </c>
      <c r="H903" s="364" t="s">
        <v>447</v>
      </c>
      <c r="I903" s="83"/>
    </row>
    <row r="904" spans="2:9" ht="15.5" hidden="1" x14ac:dyDescent="0.35">
      <c r="B904" s="83"/>
      <c r="E904" s="367"/>
      <c r="F904" s="367"/>
      <c r="G904" s="387" t="s">
        <v>1048</v>
      </c>
      <c r="H904" s="364" t="s">
        <v>449</v>
      </c>
      <c r="I904" s="83"/>
    </row>
    <row r="905" spans="2:9" ht="15.5" hidden="1" x14ac:dyDescent="0.35">
      <c r="B905" s="83"/>
      <c r="E905" s="367"/>
      <c r="F905" s="367"/>
      <c r="G905" s="387" t="s">
        <v>1049</v>
      </c>
      <c r="H905" s="364" t="s">
        <v>451</v>
      </c>
      <c r="I905" s="83"/>
    </row>
    <row r="906" spans="2:9" ht="15.5" hidden="1" x14ac:dyDescent="0.35">
      <c r="B906" s="83"/>
      <c r="E906" s="367"/>
      <c r="F906" s="367"/>
      <c r="G906" s="387" t="s">
        <v>1050</v>
      </c>
      <c r="H906" s="364" t="s">
        <v>453</v>
      </c>
      <c r="I906" s="83"/>
    </row>
    <row r="907" spans="2:9" ht="15.5" hidden="1" x14ac:dyDescent="0.35">
      <c r="B907" s="83"/>
      <c r="E907" s="367"/>
      <c r="F907" s="367"/>
      <c r="G907" s="387" t="s">
        <v>1051</v>
      </c>
      <c r="H907" s="364" t="s">
        <v>454</v>
      </c>
      <c r="I907" s="83"/>
    </row>
    <row r="908" spans="2:9" ht="15.5" hidden="1" x14ac:dyDescent="0.35">
      <c r="B908" s="83"/>
      <c r="E908" s="367"/>
      <c r="F908" s="367"/>
      <c r="G908" s="387" t="s">
        <v>1052</v>
      </c>
      <c r="H908" s="364" t="s">
        <v>456</v>
      </c>
      <c r="I908" s="83"/>
    </row>
    <row r="909" spans="2:9" ht="15.5" hidden="1" x14ac:dyDescent="0.35">
      <c r="B909" s="83"/>
      <c r="E909" s="367"/>
      <c r="F909" s="367"/>
      <c r="G909" s="387" t="s">
        <v>1053</v>
      </c>
      <c r="H909" s="364" t="s">
        <v>1418</v>
      </c>
      <c r="I909" s="83"/>
    </row>
    <row r="910" spans="2:9" ht="15.5" hidden="1" x14ac:dyDescent="0.35">
      <c r="B910" s="83"/>
      <c r="E910" s="367"/>
      <c r="F910" s="367"/>
      <c r="G910" s="387" t="s">
        <v>1054</v>
      </c>
      <c r="H910" s="364" t="s">
        <v>457</v>
      </c>
      <c r="I910" s="83"/>
    </row>
    <row r="911" spans="2:9" ht="15.5" hidden="1" x14ac:dyDescent="0.35">
      <c r="B911" s="83"/>
      <c r="E911" s="367"/>
      <c r="F911" s="367"/>
      <c r="G911" s="387" t="s">
        <v>1055</v>
      </c>
      <c r="H911" s="364" t="s">
        <v>1419</v>
      </c>
      <c r="I911" s="83"/>
    </row>
    <row r="912" spans="2:9" ht="15.5" hidden="1" x14ac:dyDescent="0.35">
      <c r="B912" s="83"/>
      <c r="E912" s="367"/>
      <c r="F912" s="367"/>
      <c r="G912" s="387" t="s">
        <v>1056</v>
      </c>
      <c r="H912" s="364" t="s">
        <v>458</v>
      </c>
      <c r="I912" s="83"/>
    </row>
    <row r="913" spans="2:9" ht="15.5" hidden="1" x14ac:dyDescent="0.35">
      <c r="B913" s="83"/>
      <c r="E913" s="367"/>
      <c r="F913" s="367"/>
      <c r="G913" s="387" t="s">
        <v>1349</v>
      </c>
      <c r="H913" s="364" t="s">
        <v>1420</v>
      </c>
      <c r="I913" s="83"/>
    </row>
    <row r="914" spans="2:9" ht="15.5" hidden="1" x14ac:dyDescent="0.35">
      <c r="B914" s="83"/>
      <c r="E914" s="367"/>
      <c r="F914" s="367"/>
      <c r="G914" s="387" t="s">
        <v>1057</v>
      </c>
      <c r="H914" s="364" t="s">
        <v>459</v>
      </c>
      <c r="I914" s="83"/>
    </row>
    <row r="915" spans="2:9" ht="15.5" hidden="1" x14ac:dyDescent="0.35">
      <c r="B915" s="83"/>
      <c r="E915" s="367"/>
      <c r="F915" s="367"/>
      <c r="G915" s="387" t="s">
        <v>1058</v>
      </c>
      <c r="H915" s="364" t="s">
        <v>1421</v>
      </c>
      <c r="I915" s="83"/>
    </row>
    <row r="916" spans="2:9" ht="15.5" hidden="1" x14ac:dyDescent="0.35">
      <c r="B916" s="83"/>
      <c r="E916" s="367"/>
      <c r="F916" s="367"/>
      <c r="G916" s="387" t="s">
        <v>1059</v>
      </c>
      <c r="H916" s="364" t="s">
        <v>461</v>
      </c>
      <c r="I916" s="83"/>
    </row>
    <row r="917" spans="2:9" ht="15.5" hidden="1" x14ac:dyDescent="0.35">
      <c r="B917" s="83"/>
      <c r="E917" s="367"/>
      <c r="F917" s="367"/>
      <c r="G917" s="387" t="s">
        <v>1060</v>
      </c>
      <c r="H917" s="364" t="s">
        <v>462</v>
      </c>
      <c r="I917" s="83"/>
    </row>
    <row r="918" spans="2:9" ht="15.5" hidden="1" x14ac:dyDescent="0.35">
      <c r="B918" s="83"/>
      <c r="E918" s="367"/>
      <c r="F918" s="367"/>
      <c r="G918" s="387" t="s">
        <v>1354</v>
      </c>
      <c r="H918" s="364" t="s">
        <v>1422</v>
      </c>
      <c r="I918" s="83"/>
    </row>
    <row r="919" spans="2:9" ht="15.5" hidden="1" x14ac:dyDescent="0.35">
      <c r="B919" s="83"/>
      <c r="E919" s="367"/>
      <c r="F919" s="367"/>
      <c r="G919" s="387" t="s">
        <v>1356</v>
      </c>
      <c r="H919" s="364" t="s">
        <v>463</v>
      </c>
      <c r="I919" s="83"/>
    </row>
    <row r="920" spans="2:9" ht="15.5" hidden="1" x14ac:dyDescent="0.35">
      <c r="B920" s="83"/>
      <c r="E920" s="367"/>
      <c r="F920" s="367"/>
      <c r="G920" s="387" t="s">
        <v>1358</v>
      </c>
      <c r="H920" s="364" t="s">
        <v>464</v>
      </c>
      <c r="I920" s="83"/>
    </row>
    <row r="921" spans="2:9" ht="15.5" hidden="1" x14ac:dyDescent="0.35">
      <c r="B921" s="83"/>
      <c r="E921" s="367"/>
      <c r="F921" s="367"/>
      <c r="G921" s="387" t="s">
        <v>1061</v>
      </c>
      <c r="H921" s="364" t="s">
        <v>1423</v>
      </c>
      <c r="I921" s="83"/>
    </row>
    <row r="922" spans="2:9" ht="15.5" hidden="1" x14ac:dyDescent="0.35">
      <c r="B922" s="83"/>
      <c r="E922" s="367"/>
      <c r="F922" s="367"/>
      <c r="G922" s="387" t="s">
        <v>1062</v>
      </c>
      <c r="H922" s="364" t="s">
        <v>1424</v>
      </c>
      <c r="I922" s="83"/>
    </row>
    <row r="923" spans="2:9" ht="15.5" hidden="1" x14ac:dyDescent="0.35">
      <c r="B923" s="83"/>
      <c r="E923" s="367"/>
      <c r="F923" s="367"/>
      <c r="G923" s="387" t="s">
        <v>1063</v>
      </c>
      <c r="H923" s="364" t="s">
        <v>465</v>
      </c>
      <c r="I923" s="83"/>
    </row>
    <row r="924" spans="2:9" ht="15.5" hidden="1" x14ac:dyDescent="0.35">
      <c r="B924" s="83"/>
      <c r="E924" s="367"/>
      <c r="F924" s="367"/>
      <c r="G924" s="387" t="s">
        <v>1064</v>
      </c>
      <c r="H924" s="364" t="s">
        <v>466</v>
      </c>
      <c r="I924" s="83"/>
    </row>
    <row r="925" spans="2:9" ht="15.5" hidden="1" x14ac:dyDescent="0.35">
      <c r="B925" s="83"/>
      <c r="E925" s="367"/>
      <c r="F925" s="367"/>
      <c r="G925" s="387" t="s">
        <v>1065</v>
      </c>
      <c r="H925" s="365" t="s">
        <v>1425</v>
      </c>
      <c r="I925" s="83"/>
    </row>
    <row r="926" spans="2:9" ht="15.5" hidden="1" x14ac:dyDescent="0.35">
      <c r="B926" s="83"/>
      <c r="E926" s="367"/>
      <c r="F926" s="367"/>
      <c r="G926" s="387" t="s">
        <v>1066</v>
      </c>
      <c r="H926" s="364" t="s">
        <v>1426</v>
      </c>
      <c r="I926" s="83"/>
    </row>
    <row r="927" spans="2:9" ht="15.5" hidden="1" x14ac:dyDescent="0.35">
      <c r="B927" s="83"/>
      <c r="E927" s="367"/>
      <c r="F927" s="367"/>
      <c r="G927" s="387" t="s">
        <v>1067</v>
      </c>
      <c r="H927" s="364" t="s">
        <v>467</v>
      </c>
      <c r="I927" s="83"/>
    </row>
    <row r="928" spans="2:9" ht="15.5" hidden="1" x14ac:dyDescent="0.35">
      <c r="B928" s="83"/>
      <c r="E928" s="367"/>
      <c r="F928" s="367"/>
      <c r="G928" s="387" t="s">
        <v>1068</v>
      </c>
      <c r="H928" s="364" t="s">
        <v>471</v>
      </c>
      <c r="I928" s="83"/>
    </row>
    <row r="929" spans="2:9" ht="15.5" hidden="1" x14ac:dyDescent="0.35">
      <c r="B929" s="83"/>
      <c r="E929" s="367"/>
      <c r="F929" s="367"/>
      <c r="G929" s="387" t="s">
        <v>1170</v>
      </c>
      <c r="H929" s="364" t="s">
        <v>469</v>
      </c>
      <c r="I929" s="83"/>
    </row>
    <row r="930" spans="2:9" ht="15.5" hidden="1" x14ac:dyDescent="0.35">
      <c r="B930" s="83"/>
      <c r="E930" s="367"/>
      <c r="F930" s="367"/>
      <c r="G930" s="387" t="s">
        <v>1138</v>
      </c>
      <c r="H930" s="364" t="s">
        <v>473</v>
      </c>
      <c r="I930" s="83"/>
    </row>
    <row r="931" spans="2:9" ht="15.5" hidden="1" x14ac:dyDescent="0.35">
      <c r="B931" s="83"/>
      <c r="E931" s="367"/>
      <c r="F931" s="367"/>
      <c r="G931" s="387" t="s">
        <v>1069</v>
      </c>
      <c r="H931" s="364" t="s">
        <v>474</v>
      </c>
      <c r="I931" s="83"/>
    </row>
    <row r="932" spans="2:9" ht="15.5" hidden="1" x14ac:dyDescent="0.35">
      <c r="B932" s="83"/>
      <c r="E932" s="367"/>
      <c r="F932" s="367"/>
      <c r="G932" s="387" t="s">
        <v>1070</v>
      </c>
      <c r="H932" s="364" t="s">
        <v>476</v>
      </c>
      <c r="I932" s="83"/>
    </row>
    <row r="933" spans="2:9" ht="15.5" hidden="1" x14ac:dyDescent="0.35">
      <c r="B933" s="83"/>
      <c r="E933" s="367"/>
      <c r="F933" s="367"/>
      <c r="G933" s="387" t="s">
        <v>1071</v>
      </c>
      <c r="H933" s="364" t="s">
        <v>478</v>
      </c>
      <c r="I933" s="83"/>
    </row>
    <row r="934" spans="2:9" ht="15.5" hidden="1" x14ac:dyDescent="0.35">
      <c r="B934" s="83"/>
      <c r="E934" s="367"/>
      <c r="F934" s="367"/>
      <c r="G934" s="387" t="s">
        <v>1072</v>
      </c>
      <c r="H934" s="364" t="s">
        <v>480</v>
      </c>
      <c r="I934" s="83"/>
    </row>
    <row r="935" spans="2:9" ht="15.5" hidden="1" x14ac:dyDescent="0.35">
      <c r="B935" s="83"/>
      <c r="E935" s="367"/>
      <c r="F935" s="367"/>
      <c r="G935" s="387" t="s">
        <v>1073</v>
      </c>
      <c r="H935" s="364" t="s">
        <v>1427</v>
      </c>
      <c r="I935" s="83"/>
    </row>
    <row r="936" spans="2:9" ht="15.5" hidden="1" x14ac:dyDescent="0.35">
      <c r="B936" s="83"/>
      <c r="E936" s="367"/>
      <c r="F936" s="367"/>
      <c r="G936" s="387" t="s">
        <v>1074</v>
      </c>
      <c r="H936" s="364" t="s">
        <v>482</v>
      </c>
      <c r="I936" s="83"/>
    </row>
    <row r="937" spans="2:9" ht="15.5" hidden="1" x14ac:dyDescent="0.35">
      <c r="B937" s="83"/>
      <c r="E937" s="367"/>
      <c r="F937" s="367"/>
      <c r="G937" s="387" t="s">
        <v>1363</v>
      </c>
      <c r="H937" s="364" t="s">
        <v>486</v>
      </c>
      <c r="I937" s="83"/>
    </row>
    <row r="938" spans="2:9" ht="15.5" hidden="1" x14ac:dyDescent="0.35">
      <c r="B938" s="83"/>
      <c r="E938" s="367"/>
      <c r="F938" s="367"/>
      <c r="G938" s="387" t="s">
        <v>1364</v>
      </c>
      <c r="H938" s="364" t="s">
        <v>484</v>
      </c>
      <c r="I938" s="83"/>
    </row>
    <row r="939" spans="2:9" ht="15.5" hidden="1" x14ac:dyDescent="0.35">
      <c r="B939" s="83"/>
      <c r="E939" s="367"/>
      <c r="F939" s="367"/>
      <c r="G939" s="387" t="s">
        <v>1075</v>
      </c>
      <c r="H939" s="364" t="s">
        <v>488</v>
      </c>
      <c r="I939" s="83"/>
    </row>
    <row r="940" spans="2:9" ht="15.5" hidden="1" x14ac:dyDescent="0.35">
      <c r="B940" s="83"/>
      <c r="E940" s="367"/>
      <c r="F940" s="367"/>
      <c r="G940" s="387" t="s">
        <v>1076</v>
      </c>
      <c r="H940" s="364" t="s">
        <v>489</v>
      </c>
      <c r="I940" s="83"/>
    </row>
    <row r="941" spans="2:9" ht="15.5" hidden="1" x14ac:dyDescent="0.35">
      <c r="B941" s="83"/>
      <c r="E941" s="367"/>
      <c r="F941" s="367"/>
      <c r="G941" s="387" t="s">
        <v>1366</v>
      </c>
      <c r="H941" s="364" t="s">
        <v>490</v>
      </c>
      <c r="I941" s="83"/>
    </row>
    <row r="942" spans="2:9" ht="15.5" hidden="1" x14ac:dyDescent="0.35">
      <c r="B942" s="83"/>
      <c r="E942" s="367"/>
      <c r="F942" s="367"/>
      <c r="G942" s="387" t="s">
        <v>1171</v>
      </c>
      <c r="H942" s="364" t="s">
        <v>492</v>
      </c>
      <c r="I942" s="83"/>
    </row>
    <row r="943" spans="2:9" ht="15.5" hidden="1" x14ac:dyDescent="0.35">
      <c r="B943" s="83"/>
      <c r="E943" s="367"/>
      <c r="F943" s="367"/>
      <c r="G943" s="387" t="s">
        <v>1368</v>
      </c>
      <c r="H943" s="365" t="s">
        <v>494</v>
      </c>
      <c r="I943" s="83"/>
    </row>
    <row r="944" spans="2:9" ht="15.5" hidden="1" x14ac:dyDescent="0.35">
      <c r="B944" s="83"/>
      <c r="E944" s="367"/>
      <c r="F944" s="367"/>
      <c r="G944" s="387" t="s">
        <v>1370</v>
      </c>
      <c r="H944" s="364" t="s">
        <v>496</v>
      </c>
      <c r="I944" s="83"/>
    </row>
    <row r="945" spans="2:34" ht="15.5" hidden="1" x14ac:dyDescent="0.35">
      <c r="B945" s="83"/>
      <c r="E945" s="367"/>
      <c r="F945" s="367"/>
      <c r="G945" s="387" t="s">
        <v>1077</v>
      </c>
      <c r="H945" s="364" t="s">
        <v>497</v>
      </c>
      <c r="I945" s="83"/>
    </row>
    <row r="946" spans="2:34" ht="15.5" hidden="1" x14ac:dyDescent="0.35">
      <c r="B946" s="83"/>
      <c r="E946" s="367"/>
      <c r="F946" s="367"/>
      <c r="G946" s="387" t="s">
        <v>1078</v>
      </c>
      <c r="H946" s="364" t="s">
        <v>1428</v>
      </c>
      <c r="I946" s="83"/>
    </row>
    <row r="947" spans="2:34" ht="15.5" hidden="1" x14ac:dyDescent="0.35">
      <c r="B947" s="83"/>
      <c r="E947" s="367"/>
      <c r="F947" s="367"/>
      <c r="G947" s="387" t="s">
        <v>1372</v>
      </c>
      <c r="H947" s="364" t="s">
        <v>499</v>
      </c>
      <c r="I947" s="83"/>
      <c r="AE947" s="341"/>
      <c r="AF947" s="341"/>
      <c r="AG947" s="341"/>
      <c r="AH947" s="341"/>
    </row>
    <row r="948" spans="2:34" ht="15.5" hidden="1" x14ac:dyDescent="0.35">
      <c r="B948" s="83"/>
      <c r="E948" s="367"/>
      <c r="F948" s="367"/>
      <c r="G948" s="387" t="s">
        <v>1079</v>
      </c>
      <c r="H948" s="364" t="s">
        <v>1429</v>
      </c>
      <c r="I948" s="83"/>
      <c r="AE948" s="341"/>
      <c r="AF948" s="341"/>
      <c r="AG948" s="341"/>
      <c r="AH948" s="341"/>
    </row>
    <row r="949" spans="2:34" ht="15.5" hidden="1" x14ac:dyDescent="0.35">
      <c r="B949" s="83"/>
      <c r="E949" s="367"/>
      <c r="F949" s="367"/>
      <c r="G949" s="387" t="s">
        <v>1080</v>
      </c>
      <c r="H949" s="364" t="s">
        <v>500</v>
      </c>
      <c r="I949" s="83"/>
      <c r="AE949" s="341"/>
      <c r="AF949" s="341"/>
      <c r="AG949" s="341"/>
      <c r="AH949" s="341"/>
    </row>
    <row r="950" spans="2:34" ht="15.5" hidden="1" x14ac:dyDescent="0.35">
      <c r="B950" s="83"/>
      <c r="E950" s="367"/>
      <c r="F950" s="367"/>
      <c r="G950" s="387" t="s">
        <v>1081</v>
      </c>
      <c r="H950" s="364" t="s">
        <v>502</v>
      </c>
      <c r="I950" s="83"/>
      <c r="AE950" s="341"/>
      <c r="AF950" s="341"/>
      <c r="AG950" s="341"/>
      <c r="AH950" s="341"/>
    </row>
    <row r="951" spans="2:34" ht="15.5" hidden="1" x14ac:dyDescent="0.35">
      <c r="B951" s="83"/>
      <c r="E951" s="367"/>
      <c r="F951" s="367"/>
      <c r="G951" s="387" t="s">
        <v>1373</v>
      </c>
      <c r="H951" s="364" t="s">
        <v>503</v>
      </c>
      <c r="I951" s="83"/>
      <c r="AE951" s="341"/>
      <c r="AF951" s="341"/>
      <c r="AG951" s="341"/>
      <c r="AH951" s="341"/>
    </row>
    <row r="952" spans="2:34" ht="15.5" hidden="1" x14ac:dyDescent="0.35">
      <c r="B952" s="83"/>
      <c r="E952" s="367"/>
      <c r="F952" s="367"/>
      <c r="G952" s="387" t="s">
        <v>1375</v>
      </c>
      <c r="H952" s="364" t="s">
        <v>505</v>
      </c>
      <c r="I952" s="83"/>
      <c r="AE952" s="341"/>
      <c r="AF952" s="341"/>
      <c r="AG952" s="341"/>
      <c r="AH952" s="341"/>
    </row>
    <row r="953" spans="2:34" ht="15.5" hidden="1" x14ac:dyDescent="0.35">
      <c r="B953" s="83"/>
      <c r="E953" s="367"/>
      <c r="F953" s="367"/>
      <c r="G953" s="387" t="s">
        <v>1377</v>
      </c>
      <c r="H953" s="364" t="s">
        <v>1430</v>
      </c>
      <c r="I953" s="83"/>
      <c r="AE953" s="341"/>
      <c r="AF953" s="341"/>
      <c r="AG953" s="341"/>
      <c r="AH953" s="341"/>
    </row>
    <row r="954" spans="2:34" ht="15.5" hidden="1" x14ac:dyDescent="0.35">
      <c r="B954" s="83"/>
      <c r="E954" s="367"/>
      <c r="F954" s="367"/>
      <c r="G954" s="387" t="s">
        <v>1379</v>
      </c>
      <c r="H954" s="364" t="s">
        <v>506</v>
      </c>
      <c r="I954" s="83"/>
      <c r="AE954" s="341"/>
      <c r="AF954" s="341"/>
      <c r="AG954" s="341"/>
      <c r="AH954" s="341"/>
    </row>
    <row r="955" spans="2:34" ht="15.5" hidden="1" x14ac:dyDescent="0.35">
      <c r="B955" s="83"/>
      <c r="E955" s="367"/>
      <c r="F955" s="367"/>
      <c r="G955" s="387" t="s">
        <v>1381</v>
      </c>
      <c r="H955" s="364" t="s">
        <v>507</v>
      </c>
      <c r="I955" s="83"/>
      <c r="AE955" s="341"/>
      <c r="AF955" s="341"/>
      <c r="AG955" s="341"/>
      <c r="AH955" s="341"/>
    </row>
    <row r="956" spans="2:34" ht="15.5" hidden="1" x14ac:dyDescent="0.35">
      <c r="B956" s="83"/>
      <c r="E956" s="367"/>
      <c r="F956" s="367"/>
      <c r="G956" s="387" t="s">
        <v>1082</v>
      </c>
      <c r="H956" s="364" t="s">
        <v>509</v>
      </c>
      <c r="I956" s="83"/>
      <c r="AE956" s="341"/>
      <c r="AF956" s="341"/>
      <c r="AG956" s="341"/>
      <c r="AH956" s="341"/>
    </row>
    <row r="957" spans="2:34" ht="15.5" hidden="1" x14ac:dyDescent="0.35">
      <c r="B957" s="83"/>
      <c r="E957" s="367"/>
      <c r="F957" s="367"/>
      <c r="G957" s="387" t="s">
        <v>1083</v>
      </c>
      <c r="H957" s="364" t="s">
        <v>511</v>
      </c>
      <c r="I957" s="83"/>
      <c r="AE957" s="341"/>
      <c r="AF957" s="341"/>
      <c r="AG957" s="341"/>
      <c r="AH957" s="341"/>
    </row>
    <row r="958" spans="2:34" ht="15.5" hidden="1" x14ac:dyDescent="0.35">
      <c r="B958" s="83"/>
      <c r="E958" s="367"/>
      <c r="F958" s="367"/>
      <c r="G958" s="387" t="s">
        <v>1084</v>
      </c>
      <c r="H958" s="364" t="s">
        <v>513</v>
      </c>
      <c r="I958" s="83"/>
      <c r="AE958" s="341"/>
      <c r="AF958" s="341"/>
      <c r="AG958" s="341"/>
      <c r="AH958" s="341"/>
    </row>
    <row r="959" spans="2:34" ht="15.5" hidden="1" x14ac:dyDescent="0.35">
      <c r="B959" s="83"/>
      <c r="E959" s="367"/>
      <c r="F959" s="367"/>
      <c r="G959" s="387" t="s">
        <v>1085</v>
      </c>
      <c r="H959" s="364" t="s">
        <v>515</v>
      </c>
      <c r="I959" s="83"/>
      <c r="AE959" s="341"/>
      <c r="AF959" s="341"/>
      <c r="AG959" s="341"/>
      <c r="AH959" s="341"/>
    </row>
    <row r="960" spans="2:34" ht="15.5" hidden="1" x14ac:dyDescent="0.35">
      <c r="B960" s="83"/>
      <c r="E960" s="367"/>
      <c r="F960" s="367"/>
      <c r="G960" s="387" t="s">
        <v>1086</v>
      </c>
      <c r="H960" s="364" t="s">
        <v>517</v>
      </c>
      <c r="I960" s="83"/>
      <c r="AE960" s="341"/>
      <c r="AF960" s="341"/>
      <c r="AG960" s="341"/>
      <c r="AH960" s="341"/>
    </row>
    <row r="961" spans="2:34" ht="15.5" hidden="1" x14ac:dyDescent="0.35">
      <c r="B961" s="83"/>
      <c r="E961" s="367"/>
      <c r="F961" s="367"/>
      <c r="G961" s="387" t="s">
        <v>1087</v>
      </c>
      <c r="H961" s="364" t="s">
        <v>519</v>
      </c>
      <c r="I961" s="83"/>
      <c r="AE961" s="341"/>
      <c r="AF961" s="341"/>
      <c r="AG961" s="341"/>
      <c r="AH961" s="341"/>
    </row>
    <row r="962" spans="2:34" ht="15.5" hidden="1" x14ac:dyDescent="0.35">
      <c r="B962" s="83"/>
      <c r="E962" s="367"/>
      <c r="F962" s="367"/>
      <c r="G962" s="387" t="s">
        <v>1088</v>
      </c>
      <c r="H962" s="364" t="s">
        <v>521</v>
      </c>
      <c r="I962" s="83"/>
      <c r="AE962" s="341"/>
      <c r="AF962" s="341"/>
      <c r="AG962" s="341"/>
      <c r="AH962" s="341"/>
    </row>
    <row r="963" spans="2:34" ht="15.5" hidden="1" x14ac:dyDescent="0.35">
      <c r="B963" s="83"/>
      <c r="E963" s="367"/>
      <c r="F963" s="367"/>
      <c r="G963" s="387" t="s">
        <v>1384</v>
      </c>
      <c r="H963" s="364" t="s">
        <v>522</v>
      </c>
      <c r="I963" s="83"/>
      <c r="AE963" s="341"/>
      <c r="AF963" s="341"/>
      <c r="AG963" s="341"/>
      <c r="AH963" s="341"/>
    </row>
    <row r="964" spans="2:34" ht="15.5" hidden="1" x14ac:dyDescent="0.35">
      <c r="B964" s="83"/>
      <c r="E964" s="367"/>
      <c r="F964" s="367"/>
      <c r="G964" s="387" t="s">
        <v>1386</v>
      </c>
      <c r="H964" s="364" t="s">
        <v>523</v>
      </c>
      <c r="I964" s="83"/>
      <c r="AE964" s="341"/>
      <c r="AF964" s="341"/>
      <c r="AG964" s="341"/>
      <c r="AH964" s="341"/>
    </row>
    <row r="965" spans="2:34" ht="15.5" hidden="1" x14ac:dyDescent="0.35">
      <c r="B965" s="83"/>
      <c r="E965" s="367"/>
      <c r="F965" s="367"/>
      <c r="G965" s="387" t="s">
        <v>1388</v>
      </c>
      <c r="H965" s="364" t="s">
        <v>525</v>
      </c>
      <c r="I965" s="83"/>
      <c r="AE965" s="341"/>
      <c r="AF965" s="341"/>
      <c r="AG965" s="341"/>
      <c r="AH965" s="341"/>
    </row>
    <row r="966" spans="2:34" ht="15.5" hidden="1" x14ac:dyDescent="0.35">
      <c r="B966" s="83"/>
      <c r="E966" s="367"/>
      <c r="F966" s="367"/>
      <c r="G966" s="387" t="s">
        <v>1390</v>
      </c>
      <c r="H966" s="364" t="s">
        <v>527</v>
      </c>
      <c r="I966" s="83"/>
      <c r="AE966" s="341"/>
      <c r="AF966" s="341"/>
      <c r="AG966" s="341"/>
      <c r="AH966" s="341"/>
    </row>
    <row r="967" spans="2:34" ht="15.5" hidden="1" x14ac:dyDescent="0.35">
      <c r="B967" s="83"/>
      <c r="E967" s="367"/>
      <c r="F967" s="367"/>
      <c r="G967" s="387" t="s">
        <v>1089</v>
      </c>
      <c r="H967" s="364" t="s">
        <v>530</v>
      </c>
      <c r="I967" s="83"/>
      <c r="AE967" s="341"/>
      <c r="AF967" s="341"/>
      <c r="AG967" s="341"/>
      <c r="AH967" s="341"/>
    </row>
    <row r="968" spans="2:34" ht="15.5" hidden="1" x14ac:dyDescent="0.35">
      <c r="B968" s="83"/>
      <c r="E968" s="367"/>
      <c r="F968" s="367"/>
      <c r="G968" s="387" t="s">
        <v>1090</v>
      </c>
      <c r="H968" s="364" t="s">
        <v>529</v>
      </c>
      <c r="I968" s="83"/>
      <c r="AE968" s="341"/>
      <c r="AF968" s="341"/>
      <c r="AG968" s="341"/>
      <c r="AH968" s="341"/>
    </row>
    <row r="969" spans="2:34" ht="15.5" hidden="1" x14ac:dyDescent="0.35">
      <c r="B969" s="83"/>
      <c r="E969" s="367"/>
      <c r="F969" s="367"/>
      <c r="G969" s="387" t="s">
        <v>1091</v>
      </c>
      <c r="H969" s="364" t="s">
        <v>532</v>
      </c>
      <c r="I969" s="83"/>
      <c r="AE969" s="341"/>
      <c r="AF969" s="341"/>
      <c r="AG969" s="341"/>
      <c r="AH969" s="341"/>
    </row>
    <row r="970" spans="2:34" ht="15.5" hidden="1" x14ac:dyDescent="0.35">
      <c r="B970" s="83"/>
      <c r="E970" s="367"/>
      <c r="F970" s="367"/>
      <c r="G970" s="387" t="s">
        <v>1092</v>
      </c>
      <c r="H970" s="364" t="s">
        <v>535</v>
      </c>
      <c r="I970" s="83"/>
      <c r="AE970" s="341"/>
      <c r="AF970" s="341"/>
      <c r="AG970" s="341"/>
      <c r="AH970" s="341"/>
    </row>
    <row r="971" spans="2:34" ht="15.5" hidden="1" x14ac:dyDescent="0.35">
      <c r="B971" s="83"/>
      <c r="E971" s="367"/>
      <c r="F971" s="367"/>
      <c r="G971" s="387" t="s">
        <v>1172</v>
      </c>
      <c r="H971" s="364" t="s">
        <v>534</v>
      </c>
      <c r="I971" s="83"/>
      <c r="AE971" s="341"/>
      <c r="AF971" s="341"/>
      <c r="AG971" s="341"/>
      <c r="AH971" s="341"/>
    </row>
    <row r="972" spans="2:34" ht="15.5" hidden="1" x14ac:dyDescent="0.35">
      <c r="B972" s="83"/>
      <c r="E972" s="367"/>
      <c r="F972" s="367"/>
      <c r="G972" s="387" t="s">
        <v>1093</v>
      </c>
      <c r="H972" s="364" t="s">
        <v>536</v>
      </c>
      <c r="I972" s="83"/>
      <c r="AE972" s="341"/>
      <c r="AF972" s="341"/>
      <c r="AG972" s="341"/>
      <c r="AH972" s="341"/>
    </row>
    <row r="973" spans="2:34" ht="15.5" hidden="1" x14ac:dyDescent="0.35">
      <c r="B973" s="83"/>
      <c r="E973" s="367"/>
      <c r="F973" s="367"/>
      <c r="G973" s="387" t="s">
        <v>1094</v>
      </c>
      <c r="H973" s="364" t="s">
        <v>537</v>
      </c>
      <c r="I973" s="83"/>
      <c r="AE973" s="341"/>
      <c r="AF973" s="341"/>
      <c r="AG973" s="341"/>
      <c r="AH973" s="341"/>
    </row>
    <row r="974" spans="2:34" ht="15.5" hidden="1" x14ac:dyDescent="0.35">
      <c r="B974" s="83"/>
      <c r="E974" s="367"/>
      <c r="F974" s="367"/>
      <c r="G974" s="387" t="s">
        <v>1095</v>
      </c>
      <c r="H974" s="364" t="s">
        <v>539</v>
      </c>
      <c r="I974" s="83"/>
      <c r="AE974" s="341"/>
      <c r="AF974" s="341"/>
      <c r="AG974" s="341"/>
      <c r="AH974" s="341"/>
    </row>
    <row r="975" spans="2:34" ht="15.5" hidden="1" x14ac:dyDescent="0.35">
      <c r="B975" s="83"/>
      <c r="E975" s="367"/>
      <c r="F975" s="367"/>
      <c r="G975" s="387" t="s">
        <v>1096</v>
      </c>
      <c r="H975" s="364" t="s">
        <v>541</v>
      </c>
      <c r="I975" s="83"/>
      <c r="AE975" s="341"/>
      <c r="AF975" s="341"/>
      <c r="AG975" s="341"/>
      <c r="AH975" s="341"/>
    </row>
    <row r="976" spans="2:34" ht="15.5" hidden="1" x14ac:dyDescent="0.35">
      <c r="B976" s="83"/>
      <c r="E976" s="367"/>
      <c r="F976" s="367"/>
      <c r="G976" s="387" t="s">
        <v>1097</v>
      </c>
      <c r="H976" s="364" t="s">
        <v>543</v>
      </c>
      <c r="I976" s="83"/>
      <c r="AE976" s="341"/>
      <c r="AF976" s="341"/>
      <c r="AG976" s="341"/>
      <c r="AH976" s="341"/>
    </row>
    <row r="977" spans="2:34" ht="15.5" hidden="1" x14ac:dyDescent="0.35">
      <c r="B977" s="83"/>
      <c r="E977" s="367"/>
      <c r="F977" s="367"/>
      <c r="G977" s="387" t="s">
        <v>1173</v>
      </c>
      <c r="H977" s="364" t="s">
        <v>545</v>
      </c>
      <c r="I977" s="83"/>
      <c r="AE977" s="341"/>
      <c r="AF977" s="341"/>
      <c r="AG977" s="341"/>
      <c r="AH977" s="341"/>
    </row>
    <row r="978" spans="2:34" ht="15.5" hidden="1" x14ac:dyDescent="0.35">
      <c r="B978" s="83"/>
      <c r="E978" s="367"/>
      <c r="F978" s="367"/>
      <c r="G978" s="387" t="s">
        <v>1098</v>
      </c>
      <c r="H978" s="364" t="s">
        <v>547</v>
      </c>
      <c r="I978" s="83"/>
      <c r="AE978" s="341"/>
      <c r="AF978" s="341"/>
      <c r="AG978" s="341"/>
      <c r="AH978" s="341"/>
    </row>
    <row r="979" spans="2:34" ht="15.5" hidden="1" x14ac:dyDescent="0.35">
      <c r="B979" s="83"/>
      <c r="E979" s="367"/>
      <c r="F979" s="367"/>
      <c r="G979" s="387" t="s">
        <v>1099</v>
      </c>
      <c r="H979" s="364" t="s">
        <v>548</v>
      </c>
      <c r="I979" s="83"/>
      <c r="AE979" s="341"/>
      <c r="AF979" s="341"/>
      <c r="AG979" s="341"/>
      <c r="AH979" s="341"/>
    </row>
    <row r="980" spans="2:34" ht="15.5" hidden="1" x14ac:dyDescent="0.35">
      <c r="B980" s="83"/>
      <c r="E980" s="367"/>
      <c r="F980" s="367"/>
      <c r="G980" s="387" t="s">
        <v>1392</v>
      </c>
      <c r="H980" s="364" t="s">
        <v>549</v>
      </c>
      <c r="I980" s="83"/>
      <c r="AE980" s="341"/>
      <c r="AF980" s="341"/>
      <c r="AG980" s="341"/>
      <c r="AH980" s="341"/>
    </row>
    <row r="981" spans="2:34" ht="15.5" hidden="1" x14ac:dyDescent="0.35">
      <c r="B981" s="83"/>
      <c r="E981" s="367"/>
      <c r="F981" s="367"/>
      <c r="G981" s="387" t="s">
        <v>1174</v>
      </c>
      <c r="H981" s="364" t="s">
        <v>550</v>
      </c>
      <c r="I981" s="83"/>
    </row>
    <row r="982" spans="2:34" ht="15.5" hidden="1" x14ac:dyDescent="0.35">
      <c r="B982" s="83"/>
      <c r="E982" s="367"/>
      <c r="F982" s="367"/>
      <c r="G982" s="387" t="s">
        <v>1100</v>
      </c>
      <c r="H982" s="364" t="s">
        <v>551</v>
      </c>
      <c r="I982" s="83"/>
    </row>
    <row r="983" spans="2:34" ht="15.5" hidden="1" x14ac:dyDescent="0.35">
      <c r="B983" s="83"/>
      <c r="E983" s="367"/>
      <c r="F983" s="367"/>
      <c r="G983" s="387" t="s">
        <v>1101</v>
      </c>
      <c r="H983" s="364" t="s">
        <v>553</v>
      </c>
      <c r="I983" s="83"/>
    </row>
    <row r="984" spans="2:34" ht="15.5" hidden="1" x14ac:dyDescent="0.3">
      <c r="B984" s="83"/>
      <c r="G984" s="68"/>
      <c r="H984" s="364" t="s">
        <v>555</v>
      </c>
      <c r="I984" s="83"/>
    </row>
    <row r="985" spans="2:34" ht="15.5" hidden="1" x14ac:dyDescent="0.3">
      <c r="B985" s="83"/>
      <c r="G985" s="68"/>
      <c r="H985" s="364" t="s">
        <v>556</v>
      </c>
      <c r="I985" s="83"/>
    </row>
    <row r="986" spans="2:34" ht="15.5" hidden="1" x14ac:dyDescent="0.3">
      <c r="B986" s="83"/>
      <c r="G986" s="68"/>
      <c r="H986" s="364" t="s">
        <v>558</v>
      </c>
      <c r="I986" s="83"/>
    </row>
    <row r="987" spans="2:34" ht="15.5" hidden="1" x14ac:dyDescent="0.3">
      <c r="B987" s="83"/>
      <c r="G987" s="68"/>
      <c r="H987" s="364" t="s">
        <v>560</v>
      </c>
      <c r="I987" s="83"/>
    </row>
    <row r="988" spans="2:34" ht="15.5" hidden="1" x14ac:dyDescent="0.3">
      <c r="B988" s="83"/>
      <c r="G988" s="68"/>
      <c r="H988" s="364" t="s">
        <v>562</v>
      </c>
      <c r="I988" s="83"/>
    </row>
    <row r="989" spans="2:34" ht="15.5" hidden="1" x14ac:dyDescent="0.3">
      <c r="B989" s="83"/>
      <c r="G989" s="68"/>
      <c r="H989" s="364" t="s">
        <v>564</v>
      </c>
      <c r="I989" s="83"/>
    </row>
    <row r="990" spans="2:34" ht="15.5" hidden="1" x14ac:dyDescent="0.3">
      <c r="B990" s="83"/>
      <c r="G990" s="68"/>
      <c r="H990" s="364" t="s">
        <v>566</v>
      </c>
      <c r="I990" s="83"/>
    </row>
    <row r="991" spans="2:34" ht="15.5" hidden="1" x14ac:dyDescent="0.3">
      <c r="B991" s="83"/>
      <c r="G991" s="68"/>
      <c r="H991" s="364" t="s">
        <v>567</v>
      </c>
      <c r="I991" s="83"/>
    </row>
    <row r="992" spans="2:34" ht="15.5" hidden="1" x14ac:dyDescent="0.3">
      <c r="B992" s="83"/>
      <c r="G992" s="68"/>
      <c r="H992" s="364" t="s">
        <v>568</v>
      </c>
      <c r="I992" s="83"/>
    </row>
    <row r="993" spans="2:9" ht="15.5" hidden="1" x14ac:dyDescent="0.3">
      <c r="B993" s="83"/>
      <c r="G993" s="68"/>
      <c r="H993" s="364" t="s">
        <v>569</v>
      </c>
      <c r="I993" s="83"/>
    </row>
    <row r="994" spans="2:9" ht="15.5" hidden="1" x14ac:dyDescent="0.3">
      <c r="B994" s="83"/>
      <c r="G994" s="68"/>
      <c r="H994" s="364" t="s">
        <v>571</v>
      </c>
      <c r="I994" s="83"/>
    </row>
    <row r="995" spans="2:9" ht="15.5" hidden="1" x14ac:dyDescent="0.3">
      <c r="B995" s="83"/>
      <c r="G995" s="68"/>
      <c r="H995" s="364" t="s">
        <v>572</v>
      </c>
      <c r="I995" s="83"/>
    </row>
    <row r="996" spans="2:9" ht="15.5" hidden="1" x14ac:dyDescent="0.3">
      <c r="B996" s="83"/>
      <c r="G996" s="68"/>
      <c r="H996" s="364" t="s">
        <v>574</v>
      </c>
      <c r="I996" s="83"/>
    </row>
    <row r="997" spans="2:9" ht="15.5" hidden="1" x14ac:dyDescent="0.3">
      <c r="B997" s="83"/>
      <c r="G997" s="68"/>
      <c r="H997" s="364" t="s">
        <v>576</v>
      </c>
      <c r="I997" s="83"/>
    </row>
    <row r="998" spans="2:9" ht="15.5" hidden="1" x14ac:dyDescent="0.3">
      <c r="B998" s="83"/>
      <c r="G998" s="300"/>
      <c r="H998" s="364" t="s">
        <v>578</v>
      </c>
      <c r="I998" s="83"/>
    </row>
    <row r="999" spans="2:9" ht="15.5" hidden="1" x14ac:dyDescent="0.3">
      <c r="B999" s="83"/>
      <c r="G999" s="68"/>
      <c r="H999" s="364" t="s">
        <v>580</v>
      </c>
      <c r="I999" s="83"/>
    </row>
    <row r="1000" spans="2:9" ht="15.5" hidden="1" x14ac:dyDescent="0.3">
      <c r="B1000" s="83"/>
      <c r="G1000" s="68"/>
      <c r="H1000" s="364" t="s">
        <v>581</v>
      </c>
      <c r="I1000" s="83"/>
    </row>
    <row r="1001" spans="2:9" ht="15.5" hidden="1" x14ac:dyDescent="0.3">
      <c r="B1001" s="83"/>
      <c r="G1001" s="68"/>
      <c r="H1001" s="364" t="s">
        <v>583</v>
      </c>
      <c r="I1001" s="83"/>
    </row>
    <row r="1002" spans="2:9" ht="15.5" hidden="1" x14ac:dyDescent="0.3">
      <c r="B1002" s="83"/>
      <c r="G1002" s="68"/>
      <c r="H1002" s="364" t="s">
        <v>585</v>
      </c>
      <c r="I1002" s="83"/>
    </row>
    <row r="1003" spans="2:9" ht="15.5" hidden="1" x14ac:dyDescent="0.3">
      <c r="B1003" s="83"/>
      <c r="G1003" s="68"/>
      <c r="H1003" s="364" t="s">
        <v>587</v>
      </c>
      <c r="I1003" s="83"/>
    </row>
    <row r="1004" spans="2:9" ht="15.5" hidden="1" x14ac:dyDescent="0.3">
      <c r="B1004" s="83"/>
      <c r="G1004" s="68"/>
      <c r="H1004" s="364" t="s">
        <v>589</v>
      </c>
      <c r="I1004" s="83"/>
    </row>
    <row r="1005" spans="2:9" ht="15.5" hidden="1" x14ac:dyDescent="0.3">
      <c r="B1005" s="83"/>
      <c r="G1005" s="68"/>
      <c r="H1005" s="364" t="s">
        <v>591</v>
      </c>
      <c r="I1005" s="83"/>
    </row>
    <row r="1006" spans="2:9" ht="15.5" hidden="1" x14ac:dyDescent="0.3">
      <c r="B1006" s="83"/>
      <c r="G1006" s="68"/>
      <c r="H1006" s="364" t="s">
        <v>593</v>
      </c>
      <c r="I1006" s="83"/>
    </row>
    <row r="1007" spans="2:9" ht="15.5" hidden="1" x14ac:dyDescent="0.3">
      <c r="B1007" s="83"/>
      <c r="G1007" s="68"/>
      <c r="H1007" s="364" t="s">
        <v>595</v>
      </c>
      <c r="I1007" s="83"/>
    </row>
    <row r="1008" spans="2:9" ht="15.5" hidden="1" x14ac:dyDescent="0.3">
      <c r="B1008" s="83"/>
      <c r="G1008" s="68"/>
      <c r="H1008" s="364" t="s">
        <v>597</v>
      </c>
      <c r="I1008" s="83"/>
    </row>
    <row r="1009" spans="2:9" ht="15.5" hidden="1" x14ac:dyDescent="0.3">
      <c r="B1009" s="83"/>
      <c r="G1009" s="68"/>
      <c r="H1009" s="364" t="s">
        <v>599</v>
      </c>
      <c r="I1009" s="83"/>
    </row>
    <row r="1010" spans="2:9" ht="15.5" hidden="1" x14ac:dyDescent="0.3">
      <c r="B1010" s="83"/>
      <c r="G1010" s="68"/>
      <c r="H1010" s="364" t="s">
        <v>601</v>
      </c>
      <c r="I1010" s="83"/>
    </row>
    <row r="1011" spans="2:9" ht="15.5" hidden="1" x14ac:dyDescent="0.3">
      <c r="B1011" s="83"/>
      <c r="G1011" s="68"/>
      <c r="H1011" s="364" t="s">
        <v>603</v>
      </c>
      <c r="I1011" s="83"/>
    </row>
    <row r="1012" spans="2:9" ht="15.5" hidden="1" x14ac:dyDescent="0.3">
      <c r="B1012" s="83"/>
      <c r="G1012" s="68"/>
      <c r="H1012" s="364" t="s">
        <v>605</v>
      </c>
      <c r="I1012" s="83"/>
    </row>
    <row r="1013" spans="2:9" ht="15.5" hidden="1" x14ac:dyDescent="0.3">
      <c r="B1013" s="83"/>
      <c r="G1013" s="68"/>
      <c r="H1013" s="364" t="s">
        <v>607</v>
      </c>
      <c r="I1013" s="83"/>
    </row>
    <row r="1014" spans="2:9" ht="15.5" hidden="1" x14ac:dyDescent="0.3">
      <c r="B1014" s="83"/>
      <c r="G1014" s="68"/>
      <c r="H1014" s="364" t="s">
        <v>609</v>
      </c>
      <c r="I1014" s="83"/>
    </row>
    <row r="1015" spans="2:9" ht="15.5" hidden="1" x14ac:dyDescent="0.3">
      <c r="B1015" s="83"/>
      <c r="G1015" s="68"/>
      <c r="H1015" s="364" t="s">
        <v>611</v>
      </c>
      <c r="I1015" s="83"/>
    </row>
    <row r="1016" spans="2:9" ht="15.5" hidden="1" x14ac:dyDescent="0.3">
      <c r="B1016" s="83"/>
      <c r="G1016" s="68"/>
      <c r="H1016" s="364" t="s">
        <v>613</v>
      </c>
      <c r="I1016" s="83"/>
    </row>
    <row r="1017" spans="2:9" ht="15.5" hidden="1" x14ac:dyDescent="0.3">
      <c r="B1017" s="83"/>
      <c r="G1017" s="68"/>
      <c r="H1017" s="364" t="s">
        <v>615</v>
      </c>
      <c r="I1017" s="83"/>
    </row>
    <row r="1018" spans="2:9" ht="15.5" hidden="1" x14ac:dyDescent="0.3">
      <c r="B1018" s="83"/>
      <c r="G1018" s="68"/>
      <c r="H1018" s="364" t="s">
        <v>617</v>
      </c>
      <c r="I1018" s="83"/>
    </row>
    <row r="1019" spans="2:9" ht="15.5" hidden="1" x14ac:dyDescent="0.3">
      <c r="B1019" s="83"/>
      <c r="G1019" s="68"/>
      <c r="H1019" s="364" t="s">
        <v>619</v>
      </c>
      <c r="I1019" s="83"/>
    </row>
    <row r="1020" spans="2:9" ht="15.5" hidden="1" x14ac:dyDescent="0.3">
      <c r="B1020" s="83"/>
      <c r="G1020" s="68"/>
      <c r="H1020" s="364" t="s">
        <v>620</v>
      </c>
      <c r="I1020" s="83"/>
    </row>
    <row r="1021" spans="2:9" ht="15.5" hidden="1" x14ac:dyDescent="0.3">
      <c r="B1021" s="83"/>
      <c r="G1021" s="68"/>
      <c r="H1021" s="364" t="s">
        <v>621</v>
      </c>
      <c r="I1021" s="83"/>
    </row>
    <row r="1022" spans="2:9" ht="15.5" hidden="1" x14ac:dyDescent="0.3">
      <c r="B1022" s="83"/>
      <c r="G1022" s="68"/>
      <c r="H1022" s="364" t="s">
        <v>622</v>
      </c>
      <c r="I1022" s="83"/>
    </row>
    <row r="1023" spans="2:9" ht="15.5" hidden="1" x14ac:dyDescent="0.3">
      <c r="B1023" s="83"/>
      <c r="G1023" s="68"/>
      <c r="H1023" s="364" t="s">
        <v>623</v>
      </c>
      <c r="I1023" s="83"/>
    </row>
    <row r="1024" spans="2:9" ht="15.5" hidden="1" x14ac:dyDescent="0.3">
      <c r="B1024" s="83"/>
      <c r="G1024" s="68"/>
      <c r="H1024" s="364" t="s">
        <v>624</v>
      </c>
      <c r="I1024" s="83"/>
    </row>
    <row r="1025" spans="2:9" ht="15.5" hidden="1" x14ac:dyDescent="0.3">
      <c r="B1025" s="83"/>
      <c r="G1025" s="68"/>
      <c r="H1025" s="364" t="s">
        <v>625</v>
      </c>
      <c r="I1025" s="83"/>
    </row>
    <row r="1026" spans="2:9" ht="15.5" hidden="1" x14ac:dyDescent="0.3">
      <c r="B1026" s="83"/>
      <c r="G1026" s="68"/>
      <c r="H1026" s="364" t="s">
        <v>626</v>
      </c>
      <c r="I1026" s="83"/>
    </row>
    <row r="1027" spans="2:9" ht="15.5" hidden="1" x14ac:dyDescent="0.3">
      <c r="B1027" s="83"/>
      <c r="G1027" s="68"/>
      <c r="H1027" s="364" t="s">
        <v>627</v>
      </c>
      <c r="I1027" s="83"/>
    </row>
    <row r="1028" spans="2:9" ht="15.5" hidden="1" x14ac:dyDescent="0.3">
      <c r="B1028" s="83"/>
      <c r="G1028" s="68"/>
      <c r="H1028" s="364" t="s">
        <v>628</v>
      </c>
      <c r="I1028" s="83"/>
    </row>
    <row r="1029" spans="2:9" ht="15.5" hidden="1" x14ac:dyDescent="0.3">
      <c r="B1029" s="83"/>
      <c r="G1029" s="68"/>
      <c r="H1029" s="364" t="s">
        <v>629</v>
      </c>
      <c r="I1029" s="83"/>
    </row>
    <row r="1030" spans="2:9" ht="15.5" hidden="1" x14ac:dyDescent="0.3">
      <c r="B1030" s="83"/>
      <c r="G1030" s="68"/>
      <c r="H1030" s="364" t="s">
        <v>630</v>
      </c>
      <c r="I1030" s="83"/>
    </row>
    <row r="1031" spans="2:9" ht="15.5" hidden="1" x14ac:dyDescent="0.3">
      <c r="B1031" s="83"/>
      <c r="G1031" s="68"/>
      <c r="H1031" s="364" t="s">
        <v>631</v>
      </c>
      <c r="I1031" s="83"/>
    </row>
    <row r="1032" spans="2:9" ht="15.5" hidden="1" x14ac:dyDescent="0.3">
      <c r="B1032" s="83"/>
      <c r="G1032" s="68"/>
      <c r="H1032" s="364" t="s">
        <v>632</v>
      </c>
      <c r="I1032" s="83"/>
    </row>
    <row r="1033" spans="2:9" ht="15.5" hidden="1" x14ac:dyDescent="0.3">
      <c r="B1033" s="83"/>
      <c r="G1033" s="68"/>
      <c r="H1033" s="364" t="s">
        <v>633</v>
      </c>
      <c r="I1033" s="83"/>
    </row>
    <row r="1034" spans="2:9" ht="15.5" hidden="1" x14ac:dyDescent="0.3">
      <c r="B1034" s="83"/>
      <c r="G1034" s="68"/>
      <c r="H1034" s="364" t="s">
        <v>634</v>
      </c>
      <c r="I1034" s="83"/>
    </row>
    <row r="1035" spans="2:9" ht="15.5" hidden="1" x14ac:dyDescent="0.3">
      <c r="B1035" s="83"/>
      <c r="G1035" s="68"/>
      <c r="H1035" s="364" t="s">
        <v>635</v>
      </c>
      <c r="I1035" s="83"/>
    </row>
    <row r="1036" spans="2:9" ht="15.5" hidden="1" x14ac:dyDescent="0.3">
      <c r="B1036" s="83"/>
      <c r="G1036" s="68"/>
      <c r="H1036" s="364" t="s">
        <v>636</v>
      </c>
      <c r="I1036" s="83"/>
    </row>
    <row r="1037" spans="2:9" ht="15.5" hidden="1" x14ac:dyDescent="0.3">
      <c r="B1037" s="83"/>
      <c r="G1037" s="68"/>
      <c r="H1037" s="364" t="s">
        <v>637</v>
      </c>
      <c r="I1037" s="83"/>
    </row>
    <row r="1038" spans="2:9" ht="15.5" hidden="1" x14ac:dyDescent="0.3">
      <c r="B1038" s="83"/>
      <c r="G1038" s="68"/>
      <c r="H1038" s="364" t="s">
        <v>638</v>
      </c>
      <c r="I1038" s="83"/>
    </row>
    <row r="1039" spans="2:9" ht="15.5" hidden="1" x14ac:dyDescent="0.3">
      <c r="B1039" s="83"/>
      <c r="G1039" s="68"/>
      <c r="H1039" s="364" t="s">
        <v>639</v>
      </c>
      <c r="I1039" s="83"/>
    </row>
    <row r="1040" spans="2:9" ht="15.5" hidden="1" x14ac:dyDescent="0.3">
      <c r="B1040" s="83"/>
      <c r="G1040" s="68"/>
      <c r="H1040" s="364" t="s">
        <v>640</v>
      </c>
      <c r="I1040" s="83"/>
    </row>
    <row r="1041" spans="2:34" ht="15.5" hidden="1" x14ac:dyDescent="0.3">
      <c r="B1041" s="83"/>
      <c r="G1041" s="68"/>
      <c r="H1041" s="364" t="s">
        <v>641</v>
      </c>
      <c r="I1041" s="83"/>
    </row>
    <row r="1042" spans="2:34" ht="15.5" hidden="1" x14ac:dyDescent="0.3">
      <c r="B1042" s="83"/>
      <c r="G1042" s="341"/>
      <c r="H1042" s="364" t="s">
        <v>642</v>
      </c>
      <c r="I1042" s="83"/>
      <c r="AE1042" s="341"/>
      <c r="AF1042" s="341"/>
      <c r="AG1042" s="341"/>
      <c r="AH1042" s="341"/>
    </row>
    <row r="1043" spans="2:34" ht="15.5" hidden="1" x14ac:dyDescent="0.3">
      <c r="B1043" s="83"/>
      <c r="G1043" s="341"/>
      <c r="H1043" s="364" t="s">
        <v>643</v>
      </c>
      <c r="I1043" s="83"/>
      <c r="AE1043" s="341"/>
      <c r="AF1043" s="341"/>
      <c r="AG1043" s="341"/>
      <c r="AH1043" s="341"/>
    </row>
    <row r="1044" spans="2:34" ht="15.5" hidden="1" x14ac:dyDescent="0.3">
      <c r="B1044" s="83"/>
      <c r="G1044" s="341"/>
      <c r="H1044" s="364" t="s">
        <v>644</v>
      </c>
      <c r="I1044" s="83"/>
      <c r="AE1044" s="341"/>
      <c r="AF1044" s="341"/>
      <c r="AG1044" s="341"/>
      <c r="AH1044" s="341"/>
    </row>
    <row r="1045" spans="2:34" ht="15.5" hidden="1" x14ac:dyDescent="0.3">
      <c r="B1045" s="83"/>
      <c r="G1045" s="341"/>
      <c r="H1045" s="364" t="s">
        <v>646</v>
      </c>
      <c r="I1045" s="83"/>
      <c r="AE1045" s="341"/>
      <c r="AF1045" s="341"/>
      <c r="AG1045" s="341"/>
      <c r="AH1045" s="341"/>
    </row>
    <row r="1046" spans="2:34" ht="15.5" hidden="1" x14ac:dyDescent="0.3">
      <c r="B1046" s="83"/>
      <c r="G1046" s="341"/>
      <c r="H1046" s="364" t="s">
        <v>648</v>
      </c>
      <c r="I1046" s="83"/>
      <c r="AE1046" s="341"/>
      <c r="AF1046" s="341"/>
      <c r="AG1046" s="341"/>
      <c r="AH1046" s="341"/>
    </row>
    <row r="1047" spans="2:34" ht="15.5" hidden="1" x14ac:dyDescent="0.3">
      <c r="B1047" s="83"/>
      <c r="G1047" s="341"/>
      <c r="H1047" s="364" t="s">
        <v>649</v>
      </c>
      <c r="I1047" s="83"/>
      <c r="AE1047" s="341"/>
      <c r="AF1047" s="341"/>
      <c r="AG1047" s="341"/>
      <c r="AH1047" s="341"/>
    </row>
    <row r="1048" spans="2:34" ht="15.5" hidden="1" x14ac:dyDescent="0.3">
      <c r="B1048" s="83"/>
      <c r="G1048" s="341"/>
      <c r="H1048" s="364" t="s">
        <v>650</v>
      </c>
      <c r="I1048" s="83"/>
      <c r="AE1048" s="341"/>
      <c r="AF1048" s="341"/>
      <c r="AG1048" s="341"/>
      <c r="AH1048" s="341"/>
    </row>
    <row r="1049" spans="2:34" ht="15.5" hidden="1" x14ac:dyDescent="0.3">
      <c r="B1049" s="83"/>
      <c r="G1049" s="341"/>
      <c r="H1049" s="364" t="s">
        <v>651</v>
      </c>
      <c r="I1049" s="83"/>
      <c r="AE1049" s="341"/>
      <c r="AF1049" s="341"/>
      <c r="AG1049" s="341"/>
      <c r="AH1049" s="341"/>
    </row>
    <row r="1050" spans="2:34" ht="15.5" hidden="1" x14ac:dyDescent="0.3">
      <c r="B1050" s="83"/>
      <c r="G1050" s="341"/>
      <c r="H1050" s="364" t="s">
        <v>652</v>
      </c>
      <c r="I1050" s="83"/>
      <c r="AE1050" s="341"/>
      <c r="AF1050" s="341"/>
      <c r="AG1050" s="341"/>
      <c r="AH1050" s="341"/>
    </row>
    <row r="1051" spans="2:34" ht="15.5" hidden="1" x14ac:dyDescent="0.3">
      <c r="B1051" s="83"/>
      <c r="G1051" s="341"/>
      <c r="H1051" s="364" t="s">
        <v>654</v>
      </c>
      <c r="I1051" s="83"/>
      <c r="AE1051" s="341"/>
      <c r="AF1051" s="341"/>
      <c r="AG1051" s="341"/>
      <c r="AH1051" s="341"/>
    </row>
    <row r="1052" spans="2:34" ht="15.5" hidden="1" x14ac:dyDescent="0.3">
      <c r="B1052" s="83"/>
      <c r="G1052" s="341"/>
      <c r="H1052" s="364" t="s">
        <v>653</v>
      </c>
      <c r="I1052" s="83"/>
      <c r="AE1052" s="341"/>
      <c r="AF1052" s="341"/>
      <c r="AG1052" s="341"/>
      <c r="AH1052" s="341"/>
    </row>
    <row r="1053" spans="2:34" ht="15.5" hidden="1" x14ac:dyDescent="0.3">
      <c r="B1053" s="83"/>
      <c r="G1053" s="341"/>
      <c r="H1053" s="364" t="s">
        <v>655</v>
      </c>
      <c r="I1053" s="83"/>
      <c r="AE1053" s="341"/>
      <c r="AF1053" s="341"/>
      <c r="AG1053" s="341"/>
      <c r="AH1053" s="341"/>
    </row>
    <row r="1054" spans="2:34" ht="15.5" hidden="1" x14ac:dyDescent="0.3">
      <c r="B1054" s="83"/>
      <c r="G1054" s="341"/>
      <c r="H1054" s="364" t="s">
        <v>657</v>
      </c>
      <c r="I1054" s="83"/>
      <c r="AE1054" s="341"/>
      <c r="AF1054" s="341"/>
      <c r="AG1054" s="341"/>
      <c r="AH1054" s="341"/>
    </row>
    <row r="1055" spans="2:34" ht="15.5" hidden="1" x14ac:dyDescent="0.3">
      <c r="B1055" s="83"/>
      <c r="G1055" s="341"/>
      <c r="H1055" s="364" t="s">
        <v>658</v>
      </c>
      <c r="I1055" s="83"/>
      <c r="AE1055" s="341"/>
      <c r="AF1055" s="341"/>
      <c r="AG1055" s="341"/>
      <c r="AH1055" s="341"/>
    </row>
    <row r="1056" spans="2:34" ht="15.5" hidden="1" x14ac:dyDescent="0.3">
      <c r="B1056" s="83"/>
      <c r="G1056" s="341"/>
      <c r="H1056" s="364" t="s">
        <v>659</v>
      </c>
      <c r="I1056" s="83"/>
      <c r="AE1056" s="341"/>
      <c r="AF1056" s="341"/>
      <c r="AG1056" s="341"/>
      <c r="AH1056" s="341"/>
    </row>
    <row r="1057" spans="2:34" ht="15.5" hidden="1" x14ac:dyDescent="0.3">
      <c r="B1057" s="83"/>
      <c r="G1057" s="341"/>
      <c r="H1057" s="364" t="s">
        <v>660</v>
      </c>
      <c r="I1057" s="83"/>
      <c r="AE1057" s="341"/>
      <c r="AF1057" s="341"/>
      <c r="AG1057" s="341"/>
      <c r="AH1057" s="341"/>
    </row>
    <row r="1058" spans="2:34" ht="15.5" hidden="1" x14ac:dyDescent="0.3">
      <c r="B1058" s="83"/>
      <c r="G1058" s="341"/>
      <c r="H1058" s="364" t="s">
        <v>662</v>
      </c>
      <c r="I1058" s="83"/>
      <c r="AE1058" s="341"/>
      <c r="AF1058" s="341"/>
      <c r="AG1058" s="341"/>
      <c r="AH1058" s="341"/>
    </row>
    <row r="1059" spans="2:34" ht="15.5" hidden="1" x14ac:dyDescent="0.3">
      <c r="B1059" s="83"/>
      <c r="G1059" s="341"/>
      <c r="H1059" s="364" t="s">
        <v>1431</v>
      </c>
      <c r="I1059" s="83"/>
      <c r="AE1059" s="341"/>
      <c r="AF1059" s="341"/>
      <c r="AG1059" s="341"/>
      <c r="AH1059" s="341"/>
    </row>
    <row r="1060" spans="2:34" ht="15.5" hidden="1" x14ac:dyDescent="0.3">
      <c r="B1060" s="83"/>
      <c r="G1060" s="341"/>
      <c r="H1060" s="364" t="s">
        <v>1432</v>
      </c>
      <c r="I1060" s="83"/>
      <c r="AE1060" s="341"/>
      <c r="AF1060" s="341"/>
      <c r="AG1060" s="341"/>
      <c r="AH1060" s="341"/>
    </row>
    <row r="1061" spans="2:34" ht="15.5" hidden="1" x14ac:dyDescent="0.3">
      <c r="B1061" s="83"/>
      <c r="G1061" s="341"/>
      <c r="H1061" s="364" t="s">
        <v>1433</v>
      </c>
      <c r="I1061" s="83"/>
      <c r="AE1061" s="341"/>
      <c r="AF1061" s="341"/>
      <c r="AG1061" s="341"/>
      <c r="AH1061" s="341"/>
    </row>
    <row r="1062" spans="2:34" ht="15.5" hidden="1" x14ac:dyDescent="0.3">
      <c r="B1062" s="83"/>
      <c r="G1062" s="341"/>
      <c r="H1062" s="364" t="s">
        <v>664</v>
      </c>
      <c r="I1062" s="83"/>
      <c r="AE1062" s="341"/>
      <c r="AF1062" s="341"/>
      <c r="AG1062" s="341"/>
      <c r="AH1062" s="341"/>
    </row>
    <row r="1063" spans="2:34" ht="15.5" hidden="1" x14ac:dyDescent="0.3">
      <c r="B1063" s="83"/>
      <c r="G1063" s="341"/>
      <c r="H1063" s="364" t="s">
        <v>666</v>
      </c>
      <c r="I1063" s="83"/>
      <c r="AE1063" s="341"/>
      <c r="AF1063" s="341"/>
      <c r="AG1063" s="341"/>
      <c r="AH1063" s="341"/>
    </row>
    <row r="1064" spans="2:34" ht="15.5" hidden="1" x14ac:dyDescent="0.3">
      <c r="B1064" s="83"/>
      <c r="G1064" s="341"/>
      <c r="H1064" s="364" t="s">
        <v>668</v>
      </c>
      <c r="I1064" s="83"/>
      <c r="AE1064" s="341"/>
      <c r="AF1064" s="341"/>
      <c r="AG1064" s="341"/>
      <c r="AH1064" s="341"/>
    </row>
    <row r="1065" spans="2:34" ht="15.5" hidden="1" x14ac:dyDescent="0.3">
      <c r="B1065" s="83"/>
      <c r="G1065" s="341"/>
      <c r="H1065" s="364" t="s">
        <v>670</v>
      </c>
      <c r="I1065" s="83"/>
      <c r="AE1065" s="341"/>
      <c r="AF1065" s="341"/>
      <c r="AG1065" s="341"/>
      <c r="AH1065" s="341"/>
    </row>
    <row r="1066" spans="2:34" ht="15.5" hidden="1" x14ac:dyDescent="0.3">
      <c r="B1066" s="83"/>
      <c r="G1066" s="341"/>
      <c r="H1066" s="364" t="s">
        <v>672</v>
      </c>
      <c r="I1066" s="83"/>
      <c r="AE1066" s="341"/>
      <c r="AF1066" s="341"/>
      <c r="AG1066" s="341"/>
      <c r="AH1066" s="341"/>
    </row>
    <row r="1067" spans="2:34" ht="15.5" hidden="1" x14ac:dyDescent="0.3">
      <c r="B1067" s="83"/>
      <c r="G1067" s="341"/>
      <c r="H1067" s="364" t="s">
        <v>1434</v>
      </c>
      <c r="I1067" s="83"/>
      <c r="AE1067" s="341"/>
      <c r="AF1067" s="341"/>
      <c r="AG1067" s="341"/>
      <c r="AH1067" s="341"/>
    </row>
    <row r="1068" spans="2:34" ht="15.5" hidden="1" x14ac:dyDescent="0.3">
      <c r="B1068" s="83"/>
      <c r="G1068" s="341"/>
      <c r="H1068" s="364" t="s">
        <v>1435</v>
      </c>
      <c r="I1068" s="83"/>
      <c r="AE1068" s="341"/>
      <c r="AF1068" s="341"/>
      <c r="AG1068" s="341"/>
      <c r="AH1068" s="341"/>
    </row>
    <row r="1069" spans="2:34" ht="15.5" hidden="1" x14ac:dyDescent="0.3">
      <c r="B1069" s="83"/>
      <c r="G1069" s="341"/>
      <c r="H1069" s="364" t="s">
        <v>1436</v>
      </c>
      <c r="I1069" s="83"/>
      <c r="AE1069" s="341"/>
      <c r="AF1069" s="341"/>
      <c r="AG1069" s="341"/>
      <c r="AH1069" s="341"/>
    </row>
    <row r="1070" spans="2:34" ht="15.5" hidden="1" x14ac:dyDescent="0.3">
      <c r="B1070" s="83"/>
      <c r="G1070" s="341"/>
      <c r="H1070" s="364" t="s">
        <v>674</v>
      </c>
      <c r="I1070" s="83"/>
      <c r="AE1070" s="341"/>
      <c r="AF1070" s="341"/>
      <c r="AG1070" s="341"/>
      <c r="AH1070" s="341"/>
    </row>
    <row r="1071" spans="2:34" ht="15.5" hidden="1" x14ac:dyDescent="0.3">
      <c r="B1071" s="83"/>
      <c r="G1071" s="341"/>
      <c r="H1071" s="364" t="s">
        <v>676</v>
      </c>
      <c r="I1071" s="83"/>
      <c r="AE1071" s="341"/>
      <c r="AF1071" s="341"/>
      <c r="AG1071" s="341"/>
      <c r="AH1071" s="341"/>
    </row>
    <row r="1072" spans="2:34" ht="15.5" hidden="1" x14ac:dyDescent="0.3">
      <c r="B1072" s="83"/>
      <c r="G1072" s="341"/>
      <c r="H1072" s="364" t="s">
        <v>1437</v>
      </c>
      <c r="I1072" s="83"/>
      <c r="AE1072" s="341"/>
      <c r="AF1072" s="341"/>
      <c r="AG1072" s="341"/>
      <c r="AH1072" s="341"/>
    </row>
    <row r="1073" spans="2:34" ht="15.5" hidden="1" x14ac:dyDescent="0.3">
      <c r="B1073" s="83"/>
      <c r="G1073" s="341"/>
      <c r="H1073" s="364" t="s">
        <v>677</v>
      </c>
      <c r="I1073" s="83"/>
      <c r="AE1073" s="341"/>
      <c r="AF1073" s="341"/>
      <c r="AG1073" s="341"/>
      <c r="AH1073" s="341"/>
    </row>
    <row r="1074" spans="2:34" ht="15.5" hidden="1" x14ac:dyDescent="0.3">
      <c r="B1074" s="83"/>
      <c r="G1074" s="341"/>
      <c r="H1074" s="364" t="s">
        <v>1438</v>
      </c>
      <c r="I1074" s="83"/>
      <c r="AE1074" s="341"/>
      <c r="AF1074" s="341"/>
      <c r="AG1074" s="341"/>
      <c r="AH1074" s="341"/>
    </row>
    <row r="1075" spans="2:34" ht="15.5" hidden="1" x14ac:dyDescent="0.3">
      <c r="B1075" s="83"/>
      <c r="G1075" s="341"/>
      <c r="H1075" s="364" t="s">
        <v>1439</v>
      </c>
      <c r="I1075" s="83"/>
      <c r="AE1075" s="341"/>
      <c r="AF1075" s="341"/>
      <c r="AG1075" s="341"/>
      <c r="AH1075" s="341"/>
    </row>
    <row r="1076" spans="2:34" ht="15.5" hidden="1" x14ac:dyDescent="0.3">
      <c r="B1076" s="83"/>
      <c r="G1076" s="341"/>
      <c r="H1076" s="364" t="s">
        <v>678</v>
      </c>
      <c r="I1076" s="83"/>
      <c r="AE1076" s="341"/>
      <c r="AF1076" s="341"/>
      <c r="AG1076" s="341"/>
      <c r="AH1076" s="341"/>
    </row>
    <row r="1077" spans="2:34" ht="15.5" hidden="1" x14ac:dyDescent="0.3">
      <c r="B1077" s="83"/>
      <c r="G1077" s="341"/>
      <c r="H1077" s="364" t="s">
        <v>679</v>
      </c>
      <c r="I1077" s="83"/>
      <c r="AE1077" s="341"/>
      <c r="AF1077" s="341"/>
      <c r="AG1077" s="341"/>
      <c r="AH1077" s="341"/>
    </row>
    <row r="1078" spans="2:34" ht="15.5" hidden="1" x14ac:dyDescent="0.3">
      <c r="B1078" s="83"/>
      <c r="G1078" s="341"/>
      <c r="H1078" s="364" t="s">
        <v>1440</v>
      </c>
      <c r="I1078" s="83"/>
      <c r="AE1078" s="341"/>
      <c r="AF1078" s="341"/>
      <c r="AG1078" s="341"/>
      <c r="AH1078" s="341"/>
    </row>
    <row r="1079" spans="2:34" ht="15.5" hidden="1" x14ac:dyDescent="0.3">
      <c r="B1079" s="83"/>
      <c r="G1079" s="341"/>
      <c r="H1079" s="364" t="s">
        <v>1207</v>
      </c>
      <c r="I1079" s="83"/>
      <c r="AE1079" s="341"/>
      <c r="AF1079" s="341"/>
      <c r="AG1079" s="341"/>
      <c r="AH1079" s="341"/>
    </row>
    <row r="1080" spans="2:34" ht="15.5" hidden="1" x14ac:dyDescent="0.3">
      <c r="B1080" s="83"/>
      <c r="G1080" s="341"/>
      <c r="H1080" s="364" t="s">
        <v>1441</v>
      </c>
      <c r="I1080" s="83"/>
      <c r="AE1080" s="341"/>
      <c r="AF1080" s="341"/>
      <c r="AG1080" s="341"/>
      <c r="AH1080" s="341"/>
    </row>
    <row r="1081" spans="2:34" ht="15.5" hidden="1" x14ac:dyDescent="0.3">
      <c r="B1081" s="83"/>
      <c r="G1081" s="341"/>
      <c r="H1081" s="364" t="s">
        <v>680</v>
      </c>
      <c r="I1081" s="83"/>
      <c r="AE1081" s="341"/>
      <c r="AF1081" s="341"/>
      <c r="AG1081" s="341"/>
      <c r="AH1081" s="341"/>
    </row>
    <row r="1082" spans="2:34" ht="15.5" hidden="1" x14ac:dyDescent="0.3">
      <c r="B1082" s="83"/>
      <c r="G1082" s="341"/>
      <c r="H1082" s="364" t="s">
        <v>681</v>
      </c>
      <c r="I1082" s="83"/>
      <c r="AE1082" s="341"/>
      <c r="AF1082" s="341"/>
      <c r="AG1082" s="341"/>
      <c r="AH1082" s="341"/>
    </row>
    <row r="1083" spans="2:34" ht="15.5" hidden="1" x14ac:dyDescent="0.3">
      <c r="B1083" s="83"/>
      <c r="G1083" s="341"/>
      <c r="H1083" s="364" t="s">
        <v>683</v>
      </c>
      <c r="I1083" s="83"/>
      <c r="AE1083" s="341"/>
      <c r="AF1083" s="341"/>
      <c r="AG1083" s="341"/>
      <c r="AH1083" s="341"/>
    </row>
    <row r="1084" spans="2:34" ht="15.5" hidden="1" x14ac:dyDescent="0.3">
      <c r="B1084" s="83"/>
      <c r="G1084" s="341"/>
      <c r="H1084" s="364" t="s">
        <v>685</v>
      </c>
      <c r="I1084" s="83"/>
      <c r="AE1084" s="341"/>
      <c r="AF1084" s="341"/>
      <c r="AG1084" s="341"/>
      <c r="AH1084" s="341"/>
    </row>
    <row r="1085" spans="2:34" ht="15.5" hidden="1" x14ac:dyDescent="0.3">
      <c r="B1085" s="83"/>
      <c r="G1085" s="341"/>
      <c r="H1085" s="364" t="s">
        <v>687</v>
      </c>
      <c r="I1085" s="83"/>
      <c r="AE1085" s="341"/>
      <c r="AF1085" s="341"/>
      <c r="AG1085" s="341"/>
      <c r="AH1085" s="341"/>
    </row>
    <row r="1086" spans="2:34" ht="15.5" hidden="1" x14ac:dyDescent="0.3">
      <c r="B1086" s="83"/>
      <c r="G1086" s="341"/>
      <c r="H1086" s="364" t="s">
        <v>688</v>
      </c>
      <c r="I1086" s="83"/>
      <c r="AE1086" s="341"/>
      <c r="AF1086" s="341"/>
      <c r="AG1086" s="341"/>
      <c r="AH1086" s="341"/>
    </row>
    <row r="1087" spans="2:34" ht="15.5" hidden="1" x14ac:dyDescent="0.3">
      <c r="B1087" s="83"/>
      <c r="G1087" s="341"/>
      <c r="H1087" s="364" t="s">
        <v>690</v>
      </c>
      <c r="I1087" s="83"/>
      <c r="AE1087" s="341"/>
      <c r="AF1087" s="341"/>
      <c r="AG1087" s="341"/>
      <c r="AH1087" s="341"/>
    </row>
    <row r="1088" spans="2:34" ht="15.5" hidden="1" x14ac:dyDescent="0.3">
      <c r="B1088" s="83"/>
      <c r="G1088" s="341"/>
      <c r="H1088" s="364" t="s">
        <v>691</v>
      </c>
      <c r="I1088" s="83"/>
      <c r="AE1088" s="341"/>
      <c r="AF1088" s="341"/>
      <c r="AG1088" s="341"/>
      <c r="AH1088" s="341"/>
    </row>
    <row r="1089" spans="2:34" ht="15.5" hidden="1" x14ac:dyDescent="0.3">
      <c r="B1089" s="83"/>
      <c r="G1089" s="341"/>
      <c r="H1089" s="364" t="s">
        <v>689</v>
      </c>
      <c r="I1089" s="83"/>
      <c r="AE1089" s="341"/>
      <c r="AF1089" s="341"/>
      <c r="AG1089" s="341"/>
      <c r="AH1089" s="341"/>
    </row>
    <row r="1090" spans="2:34" ht="15.5" hidden="1" x14ac:dyDescent="0.3">
      <c r="B1090" s="83"/>
      <c r="G1090" s="341"/>
      <c r="H1090" s="364" t="s">
        <v>692</v>
      </c>
      <c r="I1090" s="83"/>
      <c r="AE1090" s="341"/>
      <c r="AF1090" s="341"/>
      <c r="AG1090" s="341"/>
      <c r="AH1090" s="341"/>
    </row>
    <row r="1091" spans="2:34" ht="15.5" hidden="1" x14ac:dyDescent="0.3">
      <c r="B1091" s="83"/>
      <c r="G1091" s="341"/>
      <c r="H1091" s="364" t="s">
        <v>693</v>
      </c>
      <c r="I1091" s="83"/>
      <c r="AE1091" s="341"/>
      <c r="AF1091" s="341"/>
      <c r="AG1091" s="341"/>
      <c r="AH1091" s="341"/>
    </row>
    <row r="1092" spans="2:34" ht="15.5" hidden="1" x14ac:dyDescent="0.3">
      <c r="B1092" s="83"/>
      <c r="G1092" s="341"/>
      <c r="H1092" s="364" t="s">
        <v>695</v>
      </c>
      <c r="I1092" s="83"/>
      <c r="AE1092" s="341"/>
      <c r="AF1092" s="341"/>
      <c r="AG1092" s="341"/>
      <c r="AH1092" s="341"/>
    </row>
    <row r="1093" spans="2:34" ht="15.5" hidden="1" x14ac:dyDescent="0.3">
      <c r="B1093" s="83"/>
      <c r="G1093" s="341"/>
      <c r="H1093" s="364" t="s">
        <v>696</v>
      </c>
      <c r="I1093" s="83"/>
      <c r="AE1093" s="341"/>
      <c r="AF1093" s="341"/>
      <c r="AG1093" s="341"/>
      <c r="AH1093" s="341"/>
    </row>
    <row r="1094" spans="2:34" ht="15.5" hidden="1" x14ac:dyDescent="0.3">
      <c r="B1094" s="83"/>
      <c r="G1094" s="341"/>
      <c r="H1094" s="364" t="s">
        <v>698</v>
      </c>
      <c r="I1094" s="83"/>
      <c r="AE1094" s="341"/>
      <c r="AF1094" s="341"/>
      <c r="AG1094" s="341"/>
      <c r="AH1094" s="341"/>
    </row>
    <row r="1095" spans="2:34" ht="15.5" hidden="1" x14ac:dyDescent="0.3">
      <c r="B1095" s="83"/>
      <c r="G1095" s="341"/>
      <c r="H1095" s="364" t="s">
        <v>699</v>
      </c>
      <c r="I1095" s="83"/>
      <c r="AE1095" s="341"/>
      <c r="AF1095" s="341"/>
      <c r="AG1095" s="341"/>
      <c r="AH1095" s="341"/>
    </row>
    <row r="1096" spans="2:34" ht="15.5" hidden="1" x14ac:dyDescent="0.3">
      <c r="B1096" s="83"/>
      <c r="G1096" s="341"/>
      <c r="H1096" s="364" t="s">
        <v>700</v>
      </c>
      <c r="I1096" s="83"/>
      <c r="AE1096" s="341"/>
      <c r="AF1096" s="341"/>
      <c r="AG1096" s="341"/>
      <c r="AH1096" s="341"/>
    </row>
    <row r="1097" spans="2:34" ht="15.5" hidden="1" x14ac:dyDescent="0.3">
      <c r="B1097" s="83"/>
      <c r="G1097" s="341"/>
      <c r="H1097" s="364" t="s">
        <v>701</v>
      </c>
      <c r="I1097" s="83"/>
      <c r="AE1097" s="341"/>
      <c r="AF1097" s="341"/>
      <c r="AG1097" s="341"/>
      <c r="AH1097" s="341"/>
    </row>
    <row r="1098" spans="2:34" ht="15.5" hidden="1" x14ac:dyDescent="0.3">
      <c r="B1098" s="83"/>
      <c r="G1098" s="341"/>
      <c r="H1098" s="364" t="s">
        <v>1442</v>
      </c>
      <c r="I1098" s="83"/>
      <c r="AE1098" s="341"/>
      <c r="AF1098" s="341"/>
      <c r="AG1098" s="341"/>
      <c r="AH1098" s="341"/>
    </row>
    <row r="1099" spans="2:34" ht="15.5" hidden="1" x14ac:dyDescent="0.3">
      <c r="B1099" s="83"/>
      <c r="G1099" s="341"/>
      <c r="H1099" s="364" t="s">
        <v>704</v>
      </c>
      <c r="I1099" s="83"/>
      <c r="AE1099" s="341"/>
      <c r="AF1099" s="341"/>
      <c r="AG1099" s="341"/>
      <c r="AH1099" s="341"/>
    </row>
    <row r="1100" spans="2:34" ht="15.5" hidden="1" x14ac:dyDescent="0.3">
      <c r="B1100" s="83"/>
      <c r="G1100" s="341"/>
      <c r="H1100" s="364" t="s">
        <v>706</v>
      </c>
      <c r="I1100" s="83"/>
      <c r="AE1100" s="341"/>
      <c r="AF1100" s="341"/>
      <c r="AG1100" s="341"/>
      <c r="AH1100" s="341"/>
    </row>
    <row r="1101" spans="2:34" ht="15.5" hidden="1" x14ac:dyDescent="0.3">
      <c r="B1101" s="83"/>
      <c r="G1101" s="341"/>
      <c r="H1101" s="364" t="s">
        <v>707</v>
      </c>
      <c r="I1101" s="83"/>
      <c r="AE1101" s="341"/>
      <c r="AF1101" s="341"/>
      <c r="AG1101" s="341"/>
      <c r="AH1101" s="341"/>
    </row>
    <row r="1102" spans="2:34" ht="15.5" hidden="1" x14ac:dyDescent="0.3">
      <c r="B1102" s="83"/>
      <c r="G1102" s="341"/>
      <c r="H1102" s="364" t="s">
        <v>703</v>
      </c>
      <c r="I1102" s="83"/>
      <c r="AE1102" s="341"/>
      <c r="AF1102" s="341"/>
      <c r="AG1102" s="341"/>
      <c r="AH1102" s="341"/>
    </row>
    <row r="1103" spans="2:34" ht="15.5" hidden="1" x14ac:dyDescent="0.3">
      <c r="B1103" s="83"/>
      <c r="G1103" s="341"/>
      <c r="H1103" s="364" t="s">
        <v>709</v>
      </c>
      <c r="I1103" s="83"/>
      <c r="AE1103" s="341"/>
      <c r="AF1103" s="341"/>
      <c r="AG1103" s="341"/>
      <c r="AH1103" s="341"/>
    </row>
    <row r="1104" spans="2:34" ht="15.5" hidden="1" x14ac:dyDescent="0.3">
      <c r="B1104" s="83"/>
      <c r="G1104" s="341"/>
      <c r="H1104" s="364" t="s">
        <v>710</v>
      </c>
      <c r="I1104" s="83"/>
      <c r="AE1104" s="341"/>
      <c r="AF1104" s="341"/>
      <c r="AG1104" s="341"/>
      <c r="AH1104" s="341"/>
    </row>
    <row r="1105" spans="2:34" ht="15.5" hidden="1" x14ac:dyDescent="0.3">
      <c r="B1105" s="83"/>
      <c r="G1105" s="341"/>
      <c r="H1105" s="364" t="s">
        <v>711</v>
      </c>
      <c r="I1105" s="83"/>
      <c r="AE1105" s="341"/>
      <c r="AF1105" s="341"/>
      <c r="AG1105" s="341"/>
      <c r="AH1105" s="341"/>
    </row>
    <row r="1106" spans="2:34" ht="15.5" hidden="1" x14ac:dyDescent="0.3">
      <c r="B1106" s="83"/>
      <c r="G1106" s="341"/>
      <c r="H1106" s="364" t="s">
        <v>1443</v>
      </c>
      <c r="I1106" s="83"/>
      <c r="AE1106" s="341"/>
      <c r="AF1106" s="341"/>
      <c r="AG1106" s="341"/>
      <c r="AH1106" s="341"/>
    </row>
    <row r="1107" spans="2:34" ht="15.5" hidden="1" x14ac:dyDescent="0.3">
      <c r="B1107" s="83"/>
      <c r="G1107" s="341"/>
      <c r="H1107" s="364" t="s">
        <v>1444</v>
      </c>
      <c r="I1107" s="83"/>
      <c r="AE1107" s="341"/>
      <c r="AF1107" s="341"/>
      <c r="AG1107" s="341"/>
      <c r="AH1107" s="341"/>
    </row>
    <row r="1108" spans="2:34" ht="15.5" hidden="1" x14ac:dyDescent="0.3">
      <c r="B1108" s="83"/>
      <c r="G1108" s="341"/>
      <c r="H1108" s="364" t="s">
        <v>1445</v>
      </c>
      <c r="I1108" s="83"/>
      <c r="AE1108" s="341"/>
      <c r="AF1108" s="341"/>
      <c r="AG1108" s="341"/>
      <c r="AH1108" s="341"/>
    </row>
    <row r="1109" spans="2:34" ht="15.5" hidden="1" x14ac:dyDescent="0.3">
      <c r="B1109" s="83"/>
      <c r="G1109" s="341"/>
      <c r="H1109" s="364" t="s">
        <v>714</v>
      </c>
      <c r="I1109" s="83"/>
      <c r="AE1109" s="341"/>
      <c r="AF1109" s="341"/>
      <c r="AG1109" s="341"/>
      <c r="AH1109" s="341"/>
    </row>
    <row r="1110" spans="2:34" ht="15.5" hidden="1" x14ac:dyDescent="0.3">
      <c r="B1110" s="83"/>
      <c r="G1110" s="341"/>
      <c r="H1110" s="364" t="s">
        <v>712</v>
      </c>
      <c r="I1110" s="83"/>
      <c r="AE1110" s="341"/>
      <c r="AF1110" s="341"/>
      <c r="AG1110" s="341"/>
      <c r="AH1110" s="341"/>
    </row>
    <row r="1111" spans="2:34" ht="15.5" hidden="1" x14ac:dyDescent="0.3">
      <c r="B1111" s="83"/>
      <c r="G1111" s="341"/>
      <c r="H1111" s="364" t="s">
        <v>716</v>
      </c>
      <c r="I1111" s="83"/>
      <c r="AE1111" s="341"/>
      <c r="AF1111" s="341"/>
      <c r="AG1111" s="341"/>
      <c r="AH1111" s="341"/>
    </row>
    <row r="1112" spans="2:34" ht="15.5" hidden="1" x14ac:dyDescent="0.3">
      <c r="B1112" s="83"/>
      <c r="G1112" s="341"/>
      <c r="H1112" s="364" t="s">
        <v>1446</v>
      </c>
      <c r="I1112" s="83"/>
      <c r="AE1112" s="341"/>
      <c r="AF1112" s="341"/>
      <c r="AG1112" s="341"/>
      <c r="AH1112" s="341"/>
    </row>
    <row r="1113" spans="2:34" ht="15.5" hidden="1" x14ac:dyDescent="0.3">
      <c r="B1113" s="83"/>
      <c r="G1113" s="341"/>
      <c r="H1113" s="364" t="s">
        <v>717</v>
      </c>
      <c r="I1113" s="83"/>
      <c r="AE1113" s="341"/>
      <c r="AF1113" s="341"/>
      <c r="AG1113" s="341"/>
      <c r="AH1113" s="341"/>
    </row>
    <row r="1114" spans="2:34" ht="15.5" hidden="1" x14ac:dyDescent="0.3">
      <c r="B1114" s="83"/>
      <c r="G1114" s="341"/>
      <c r="H1114" s="364" t="s">
        <v>1447</v>
      </c>
      <c r="I1114" s="83"/>
      <c r="AE1114" s="341"/>
      <c r="AF1114" s="341"/>
      <c r="AG1114" s="341"/>
      <c r="AH1114" s="341"/>
    </row>
    <row r="1115" spans="2:34" ht="15.5" hidden="1" x14ac:dyDescent="0.3">
      <c r="B1115" s="83"/>
      <c r="G1115" s="341"/>
      <c r="H1115" s="364" t="s">
        <v>1448</v>
      </c>
      <c r="I1115" s="83"/>
      <c r="AE1115" s="341"/>
      <c r="AF1115" s="341"/>
      <c r="AG1115" s="341"/>
      <c r="AH1115" s="341"/>
    </row>
    <row r="1116" spans="2:34" ht="15.5" hidden="1" x14ac:dyDescent="0.3">
      <c r="B1116" s="83"/>
      <c r="G1116" s="341"/>
      <c r="H1116" s="364" t="s">
        <v>1449</v>
      </c>
      <c r="I1116" s="83"/>
      <c r="AE1116" s="341"/>
      <c r="AF1116" s="341"/>
      <c r="AG1116" s="341"/>
      <c r="AH1116" s="341"/>
    </row>
    <row r="1117" spans="2:34" ht="15.5" hidden="1" x14ac:dyDescent="0.3">
      <c r="B1117" s="83"/>
      <c r="G1117" s="341"/>
      <c r="H1117" s="364" t="s">
        <v>1450</v>
      </c>
      <c r="I1117" s="83"/>
      <c r="AE1117" s="341"/>
      <c r="AF1117" s="341"/>
      <c r="AG1117" s="341"/>
      <c r="AH1117" s="341"/>
    </row>
    <row r="1118" spans="2:34" ht="15.5" hidden="1" x14ac:dyDescent="0.3">
      <c r="B1118" s="83"/>
      <c r="G1118" s="341"/>
      <c r="H1118" s="364" t="s">
        <v>1451</v>
      </c>
      <c r="I1118" s="83"/>
      <c r="AE1118" s="341"/>
      <c r="AF1118" s="341"/>
      <c r="AG1118" s="341"/>
      <c r="AH1118" s="341"/>
    </row>
    <row r="1119" spans="2:34" ht="15.5" hidden="1" x14ac:dyDescent="0.3">
      <c r="B1119" s="83"/>
      <c r="G1119" s="341"/>
      <c r="H1119" s="364" t="s">
        <v>1452</v>
      </c>
      <c r="I1119" s="83"/>
      <c r="AE1119" s="341"/>
      <c r="AF1119" s="341"/>
      <c r="AG1119" s="341"/>
      <c r="AH1119" s="341"/>
    </row>
    <row r="1120" spans="2:34" ht="15.5" hidden="1" x14ac:dyDescent="0.3">
      <c r="B1120" s="83"/>
      <c r="G1120" s="341"/>
      <c r="H1120" s="364" t="s">
        <v>720</v>
      </c>
      <c r="I1120" s="83"/>
      <c r="AE1120" s="341"/>
      <c r="AF1120" s="341"/>
      <c r="AG1120" s="341"/>
      <c r="AH1120" s="341"/>
    </row>
    <row r="1121" spans="2:34" ht="15.5" hidden="1" x14ac:dyDescent="0.3">
      <c r="B1121" s="83"/>
      <c r="G1121" s="341"/>
      <c r="H1121" s="364" t="s">
        <v>718</v>
      </c>
      <c r="I1121" s="83"/>
      <c r="AE1121" s="341"/>
      <c r="AF1121" s="341"/>
      <c r="AG1121" s="341"/>
      <c r="AH1121" s="341"/>
    </row>
    <row r="1122" spans="2:34" ht="15.5" hidden="1" x14ac:dyDescent="0.3">
      <c r="B1122" s="83"/>
      <c r="G1122" s="341"/>
      <c r="H1122" s="364" t="s">
        <v>722</v>
      </c>
      <c r="I1122" s="83"/>
      <c r="AE1122" s="341"/>
      <c r="AF1122" s="341"/>
      <c r="AG1122" s="341"/>
      <c r="AH1122" s="341"/>
    </row>
    <row r="1123" spans="2:34" ht="15.5" hidden="1" x14ac:dyDescent="0.3">
      <c r="B1123" s="83"/>
      <c r="G1123" s="341"/>
      <c r="H1123" s="364" t="s">
        <v>1453</v>
      </c>
      <c r="I1123" s="83"/>
      <c r="AE1123" s="341"/>
      <c r="AF1123" s="341"/>
      <c r="AG1123" s="341"/>
      <c r="AH1123" s="341"/>
    </row>
    <row r="1124" spans="2:34" ht="15.5" hidden="1" x14ac:dyDescent="0.3">
      <c r="B1124" s="83"/>
      <c r="G1124" s="341"/>
      <c r="H1124" s="364" t="s">
        <v>723</v>
      </c>
      <c r="I1124" s="83"/>
      <c r="AE1124" s="341"/>
      <c r="AF1124" s="341"/>
      <c r="AG1124" s="341"/>
      <c r="AH1124" s="341"/>
    </row>
    <row r="1125" spans="2:34" ht="15.5" hidden="1" x14ac:dyDescent="0.3">
      <c r="B1125" s="83"/>
      <c r="G1125" s="341"/>
      <c r="H1125" s="364" t="s">
        <v>725</v>
      </c>
      <c r="I1125" s="83"/>
      <c r="AE1125" s="341"/>
      <c r="AF1125" s="341"/>
      <c r="AG1125" s="341"/>
      <c r="AH1125" s="341"/>
    </row>
    <row r="1126" spans="2:34" ht="15.5" hidden="1" x14ac:dyDescent="0.3">
      <c r="B1126" s="83"/>
      <c r="G1126" s="341"/>
      <c r="H1126" s="364" t="s">
        <v>727</v>
      </c>
      <c r="I1126" s="83"/>
      <c r="AE1126" s="341"/>
      <c r="AF1126" s="341"/>
      <c r="AG1126" s="341"/>
      <c r="AH1126" s="341"/>
    </row>
    <row r="1127" spans="2:34" ht="15.5" hidden="1" x14ac:dyDescent="0.3">
      <c r="B1127" s="83"/>
      <c r="G1127" s="341"/>
      <c r="H1127" s="364" t="s">
        <v>729</v>
      </c>
      <c r="I1127" s="83"/>
      <c r="AE1127" s="341"/>
      <c r="AF1127" s="341"/>
      <c r="AG1127" s="341"/>
      <c r="AH1127" s="341"/>
    </row>
    <row r="1128" spans="2:34" ht="15.5" hidden="1" x14ac:dyDescent="0.3">
      <c r="B1128" s="83"/>
      <c r="G1128" s="341"/>
      <c r="H1128" s="364" t="s">
        <v>731</v>
      </c>
      <c r="I1128" s="83"/>
      <c r="AE1128" s="341"/>
      <c r="AF1128" s="341"/>
      <c r="AG1128" s="341"/>
      <c r="AH1128" s="341"/>
    </row>
    <row r="1129" spans="2:34" ht="15.5" hidden="1" x14ac:dyDescent="0.3">
      <c r="B1129" s="83"/>
      <c r="G1129" s="341"/>
      <c r="H1129" s="364" t="s">
        <v>732</v>
      </c>
      <c r="I1129" s="83"/>
      <c r="AE1129" s="341"/>
      <c r="AF1129" s="341"/>
      <c r="AG1129" s="341"/>
      <c r="AH1129" s="341"/>
    </row>
    <row r="1130" spans="2:34" ht="15.5" hidden="1" x14ac:dyDescent="0.3">
      <c r="B1130" s="83"/>
      <c r="G1130" s="341"/>
      <c r="H1130" s="364" t="s">
        <v>734</v>
      </c>
      <c r="I1130" s="83"/>
      <c r="AE1130" s="341"/>
      <c r="AF1130" s="341"/>
      <c r="AG1130" s="341"/>
      <c r="AH1130" s="341"/>
    </row>
    <row r="1131" spans="2:34" ht="15.5" hidden="1" x14ac:dyDescent="0.3">
      <c r="B1131" s="83"/>
      <c r="G1131" s="341"/>
      <c r="H1131" s="364" t="s">
        <v>736</v>
      </c>
      <c r="I1131" s="83"/>
      <c r="AE1131" s="341"/>
      <c r="AF1131" s="341"/>
      <c r="AG1131" s="341"/>
      <c r="AH1131" s="341"/>
    </row>
    <row r="1132" spans="2:34" ht="15.5" hidden="1" x14ac:dyDescent="0.3">
      <c r="B1132" s="83"/>
      <c r="G1132" s="341"/>
      <c r="H1132" s="364" t="s">
        <v>738</v>
      </c>
      <c r="I1132" s="83"/>
      <c r="AE1132" s="341"/>
      <c r="AF1132" s="341"/>
      <c r="AG1132" s="341"/>
      <c r="AH1132" s="341"/>
    </row>
    <row r="1133" spans="2:34" ht="15.5" hidden="1" x14ac:dyDescent="0.3">
      <c r="B1133" s="83"/>
      <c r="G1133" s="341"/>
      <c r="H1133" s="364" t="s">
        <v>740</v>
      </c>
      <c r="I1133" s="83"/>
      <c r="AE1133" s="341"/>
      <c r="AF1133" s="341"/>
      <c r="AG1133" s="341"/>
      <c r="AH1133" s="341"/>
    </row>
    <row r="1134" spans="2:34" ht="15.5" hidden="1" x14ac:dyDescent="0.3">
      <c r="B1134" s="83"/>
      <c r="G1134" s="341"/>
      <c r="H1134" s="364" t="s">
        <v>1454</v>
      </c>
      <c r="I1134" s="83"/>
      <c r="AE1134" s="341"/>
      <c r="AF1134" s="341"/>
      <c r="AG1134" s="341"/>
      <c r="AH1134" s="341"/>
    </row>
    <row r="1135" spans="2:34" ht="15.5" hidden="1" x14ac:dyDescent="0.3">
      <c r="B1135" s="83"/>
      <c r="G1135" s="341"/>
      <c r="H1135" s="364" t="s">
        <v>1455</v>
      </c>
      <c r="I1135" s="83"/>
      <c r="AE1135" s="341"/>
      <c r="AF1135" s="341"/>
      <c r="AG1135" s="341"/>
      <c r="AH1135" s="341"/>
    </row>
    <row r="1136" spans="2:34" ht="15.5" hidden="1" x14ac:dyDescent="0.3">
      <c r="B1136" s="83"/>
      <c r="G1136" s="341"/>
      <c r="H1136" s="364" t="s">
        <v>1456</v>
      </c>
      <c r="I1136" s="83"/>
      <c r="AE1136" s="341"/>
      <c r="AF1136" s="341"/>
      <c r="AG1136" s="341"/>
      <c r="AH1136" s="341"/>
    </row>
    <row r="1137" spans="2:34" ht="15.5" hidden="1" x14ac:dyDescent="0.3">
      <c r="B1137" s="83"/>
      <c r="G1137" s="341"/>
      <c r="H1137" s="364" t="s">
        <v>1457</v>
      </c>
      <c r="I1137" s="83"/>
      <c r="AE1137" s="341"/>
      <c r="AF1137" s="341"/>
      <c r="AG1137" s="341"/>
      <c r="AH1137" s="341"/>
    </row>
    <row r="1138" spans="2:34" ht="15.5" hidden="1" x14ac:dyDescent="0.3">
      <c r="B1138" s="83"/>
      <c r="G1138" s="341"/>
      <c r="H1138" s="364" t="s">
        <v>1458</v>
      </c>
      <c r="I1138" s="83"/>
      <c r="AE1138" s="341"/>
      <c r="AF1138" s="341"/>
      <c r="AG1138" s="341"/>
      <c r="AH1138" s="341"/>
    </row>
    <row r="1139" spans="2:34" ht="15.5" hidden="1" x14ac:dyDescent="0.3">
      <c r="B1139" s="83"/>
      <c r="G1139" s="341"/>
      <c r="H1139" s="364" t="s">
        <v>1459</v>
      </c>
      <c r="I1139" s="83"/>
      <c r="AE1139" s="341"/>
      <c r="AF1139" s="341"/>
      <c r="AG1139" s="341"/>
      <c r="AH1139" s="341"/>
    </row>
    <row r="1140" spans="2:34" ht="15.5" hidden="1" x14ac:dyDescent="0.3">
      <c r="B1140" s="83"/>
      <c r="G1140" s="341"/>
      <c r="H1140" s="364" t="s">
        <v>1460</v>
      </c>
      <c r="I1140" s="83"/>
      <c r="AE1140" s="341"/>
      <c r="AF1140" s="341"/>
      <c r="AG1140" s="341"/>
      <c r="AH1140" s="341"/>
    </row>
    <row r="1141" spans="2:34" ht="15.5" hidden="1" x14ac:dyDescent="0.3">
      <c r="B1141" s="83"/>
      <c r="G1141" s="341"/>
      <c r="H1141" s="364" t="s">
        <v>1461</v>
      </c>
      <c r="I1141" s="83"/>
      <c r="AE1141" s="341"/>
      <c r="AF1141" s="341"/>
      <c r="AG1141" s="341"/>
      <c r="AH1141" s="341"/>
    </row>
    <row r="1142" spans="2:34" ht="15.5" hidden="1" x14ac:dyDescent="0.3">
      <c r="B1142" s="83"/>
      <c r="G1142" s="341"/>
      <c r="H1142" s="364" t="s">
        <v>1462</v>
      </c>
      <c r="I1142" s="83"/>
      <c r="AE1142" s="341"/>
      <c r="AF1142" s="341"/>
      <c r="AG1142" s="341"/>
      <c r="AH1142" s="341"/>
    </row>
    <row r="1143" spans="2:34" ht="15.5" hidden="1" x14ac:dyDescent="0.3">
      <c r="B1143" s="83"/>
      <c r="G1143" s="341"/>
      <c r="H1143" s="364" t="s">
        <v>1463</v>
      </c>
      <c r="I1143" s="83"/>
      <c r="AE1143" s="341"/>
      <c r="AF1143" s="341"/>
      <c r="AG1143" s="341"/>
      <c r="AH1143" s="341"/>
    </row>
    <row r="1144" spans="2:34" ht="15.5" hidden="1" x14ac:dyDescent="0.3">
      <c r="B1144" s="83"/>
      <c r="G1144" s="341"/>
      <c r="H1144" s="364" t="s">
        <v>1464</v>
      </c>
      <c r="I1144" s="83"/>
      <c r="AE1144" s="341"/>
      <c r="AF1144" s="341"/>
      <c r="AG1144" s="341"/>
      <c r="AH1144" s="341"/>
    </row>
    <row r="1145" spans="2:34" ht="15.5" hidden="1" x14ac:dyDescent="0.3">
      <c r="B1145" s="83"/>
      <c r="G1145" s="341"/>
      <c r="H1145" s="364" t="s">
        <v>1465</v>
      </c>
      <c r="I1145" s="83"/>
      <c r="AE1145" s="341"/>
      <c r="AF1145" s="341"/>
      <c r="AG1145" s="341"/>
      <c r="AH1145" s="341"/>
    </row>
    <row r="1146" spans="2:34" ht="15.5" hidden="1" x14ac:dyDescent="0.3">
      <c r="B1146" s="83"/>
      <c r="G1146" s="341"/>
      <c r="H1146" s="364" t="s">
        <v>1466</v>
      </c>
      <c r="I1146" s="83"/>
      <c r="AE1146" s="341"/>
      <c r="AF1146" s="341"/>
      <c r="AG1146" s="341"/>
      <c r="AH1146" s="341"/>
    </row>
    <row r="1147" spans="2:34" ht="15.5" hidden="1" x14ac:dyDescent="0.3">
      <c r="B1147" s="83"/>
      <c r="G1147" s="341"/>
      <c r="H1147" s="364" t="s">
        <v>1467</v>
      </c>
      <c r="I1147" s="83"/>
      <c r="AE1147" s="341"/>
      <c r="AF1147" s="341"/>
      <c r="AG1147" s="341"/>
      <c r="AH1147" s="341"/>
    </row>
    <row r="1148" spans="2:34" ht="15.5" hidden="1" x14ac:dyDescent="0.3">
      <c r="B1148" s="83"/>
      <c r="G1148" s="341"/>
      <c r="H1148" s="364" t="s">
        <v>1468</v>
      </c>
      <c r="I1148" s="83"/>
      <c r="AE1148" s="341"/>
      <c r="AF1148" s="341"/>
      <c r="AG1148" s="341"/>
      <c r="AH1148" s="341"/>
    </row>
    <row r="1149" spans="2:34" ht="15.5" hidden="1" x14ac:dyDescent="0.3">
      <c r="B1149" s="83"/>
      <c r="G1149" s="341"/>
      <c r="H1149" s="364" t="s">
        <v>1469</v>
      </c>
      <c r="I1149" s="83"/>
      <c r="AE1149" s="341"/>
      <c r="AF1149" s="341"/>
      <c r="AG1149" s="341"/>
      <c r="AH1149" s="341"/>
    </row>
    <row r="1150" spans="2:34" ht="15.5" hidden="1" x14ac:dyDescent="0.3">
      <c r="B1150" s="83"/>
      <c r="G1150" s="341"/>
      <c r="H1150" s="364" t="s">
        <v>1470</v>
      </c>
      <c r="I1150" s="83"/>
      <c r="AE1150" s="341"/>
      <c r="AF1150" s="341"/>
      <c r="AG1150" s="341"/>
      <c r="AH1150" s="341"/>
    </row>
    <row r="1151" spans="2:34" ht="15.5" hidden="1" x14ac:dyDescent="0.3">
      <c r="B1151" s="83"/>
      <c r="G1151" s="341"/>
      <c r="H1151" s="364" t="s">
        <v>742</v>
      </c>
      <c r="I1151" s="83"/>
      <c r="AE1151" s="341"/>
      <c r="AF1151" s="341"/>
      <c r="AG1151" s="341"/>
      <c r="AH1151" s="341"/>
    </row>
    <row r="1152" spans="2:34" ht="15.5" hidden="1" x14ac:dyDescent="0.3">
      <c r="B1152" s="83"/>
      <c r="G1152" s="341"/>
      <c r="H1152" s="364" t="s">
        <v>744</v>
      </c>
      <c r="I1152" s="83"/>
      <c r="AE1152" s="341"/>
      <c r="AF1152" s="341"/>
      <c r="AG1152" s="341"/>
      <c r="AH1152" s="341"/>
    </row>
    <row r="1153" spans="2:34" ht="15.5" hidden="1" x14ac:dyDescent="0.3">
      <c r="B1153" s="83"/>
      <c r="G1153" s="341"/>
      <c r="H1153" s="364" t="s">
        <v>746</v>
      </c>
      <c r="I1153" s="83"/>
      <c r="AE1153" s="341"/>
      <c r="AF1153" s="341"/>
      <c r="AG1153" s="341"/>
      <c r="AH1153" s="341"/>
    </row>
    <row r="1154" spans="2:34" ht="15.5" hidden="1" x14ac:dyDescent="0.3">
      <c r="B1154" s="83"/>
      <c r="G1154" s="341"/>
      <c r="H1154" s="364" t="s">
        <v>748</v>
      </c>
      <c r="I1154" s="83"/>
      <c r="AE1154" s="341"/>
      <c r="AF1154" s="341"/>
      <c r="AG1154" s="341"/>
      <c r="AH1154" s="341"/>
    </row>
    <row r="1155" spans="2:34" ht="15.5" hidden="1" x14ac:dyDescent="0.3">
      <c r="B1155" s="83"/>
      <c r="G1155" s="341"/>
      <c r="H1155" s="364" t="s">
        <v>750</v>
      </c>
      <c r="I1155" s="83"/>
      <c r="AE1155" s="341"/>
      <c r="AF1155" s="341"/>
      <c r="AG1155" s="341"/>
      <c r="AH1155" s="341"/>
    </row>
    <row r="1156" spans="2:34" ht="15.5" hidden="1" x14ac:dyDescent="0.3">
      <c r="B1156" s="83"/>
      <c r="G1156" s="341"/>
      <c r="H1156" s="364" t="s">
        <v>752</v>
      </c>
      <c r="I1156" s="83"/>
      <c r="AE1156" s="341"/>
      <c r="AF1156" s="341"/>
      <c r="AG1156" s="341"/>
      <c r="AH1156" s="341"/>
    </row>
    <row r="1157" spans="2:34" ht="15.5" hidden="1" x14ac:dyDescent="0.3">
      <c r="B1157" s="83"/>
      <c r="G1157" s="341"/>
      <c r="H1157" s="364" t="s">
        <v>754</v>
      </c>
      <c r="I1157" s="83"/>
      <c r="AE1157" s="341"/>
      <c r="AF1157" s="341"/>
      <c r="AG1157" s="341"/>
      <c r="AH1157" s="341"/>
    </row>
    <row r="1158" spans="2:34" ht="15.5" hidden="1" x14ac:dyDescent="0.3">
      <c r="B1158" s="83"/>
      <c r="G1158" s="341"/>
      <c r="H1158" s="364" t="s">
        <v>756</v>
      </c>
      <c r="I1158" s="83"/>
      <c r="AE1158" s="341"/>
      <c r="AF1158" s="341"/>
      <c r="AG1158" s="341"/>
      <c r="AH1158" s="341"/>
    </row>
    <row r="1159" spans="2:34" ht="15.5" hidden="1" x14ac:dyDescent="0.3">
      <c r="B1159" s="83"/>
      <c r="G1159" s="341"/>
      <c r="H1159" s="364" t="s">
        <v>758</v>
      </c>
      <c r="I1159" s="83"/>
      <c r="AE1159" s="341"/>
      <c r="AF1159" s="341"/>
      <c r="AG1159" s="341"/>
      <c r="AH1159" s="341"/>
    </row>
    <row r="1160" spans="2:34" ht="15.5" hidden="1" x14ac:dyDescent="0.3">
      <c r="B1160" s="83"/>
      <c r="G1160" s="341"/>
      <c r="H1160" s="364" t="s">
        <v>760</v>
      </c>
      <c r="I1160" s="83"/>
      <c r="AE1160" s="341"/>
      <c r="AF1160" s="341"/>
      <c r="AG1160" s="341"/>
      <c r="AH1160" s="341"/>
    </row>
    <row r="1161" spans="2:34" ht="15.5" hidden="1" x14ac:dyDescent="0.3">
      <c r="B1161" s="83"/>
      <c r="G1161" s="341"/>
      <c r="H1161" s="364" t="s">
        <v>762</v>
      </c>
      <c r="I1161" s="83"/>
      <c r="AE1161" s="341"/>
      <c r="AF1161" s="341"/>
      <c r="AG1161" s="341"/>
      <c r="AH1161" s="341"/>
    </row>
    <row r="1162" spans="2:34" ht="15.5" hidden="1" x14ac:dyDescent="0.3">
      <c r="B1162" s="83"/>
      <c r="G1162" s="341"/>
      <c r="H1162" s="364" t="s">
        <v>764</v>
      </c>
      <c r="I1162" s="83"/>
      <c r="AE1162" s="341"/>
      <c r="AF1162" s="341"/>
      <c r="AG1162" s="341"/>
      <c r="AH1162" s="341"/>
    </row>
    <row r="1163" spans="2:34" ht="15.5" hidden="1" x14ac:dyDescent="0.3">
      <c r="B1163" s="83"/>
      <c r="G1163" s="341"/>
      <c r="H1163" s="364" t="s">
        <v>766</v>
      </c>
      <c r="I1163" s="83"/>
      <c r="AE1163" s="341"/>
      <c r="AF1163" s="341"/>
      <c r="AG1163" s="341"/>
      <c r="AH1163" s="341"/>
    </row>
    <row r="1164" spans="2:34" ht="15.5" hidden="1" x14ac:dyDescent="0.3">
      <c r="B1164" s="83"/>
      <c r="G1164" s="341"/>
      <c r="H1164" s="364" t="s">
        <v>768</v>
      </c>
      <c r="I1164" s="83"/>
      <c r="AE1164" s="341"/>
      <c r="AF1164" s="341"/>
      <c r="AG1164" s="341"/>
      <c r="AH1164" s="341"/>
    </row>
    <row r="1165" spans="2:34" ht="15.5" hidden="1" x14ac:dyDescent="0.3">
      <c r="B1165" s="83"/>
      <c r="G1165" s="68"/>
      <c r="H1165" s="364" t="s">
        <v>770</v>
      </c>
      <c r="I1165" s="83"/>
    </row>
    <row r="1166" spans="2:34" ht="15.5" hidden="1" x14ac:dyDescent="0.3">
      <c r="B1166" s="83"/>
      <c r="G1166" s="68"/>
      <c r="H1166" s="364" t="s">
        <v>772</v>
      </c>
      <c r="I1166" s="83"/>
    </row>
    <row r="1167" spans="2:34" ht="15.5" hidden="1" x14ac:dyDescent="0.3">
      <c r="B1167" s="83"/>
      <c r="G1167" s="68"/>
      <c r="H1167" s="364" t="s">
        <v>774</v>
      </c>
      <c r="I1167" s="83"/>
    </row>
    <row r="1168" spans="2:34" ht="15.5" hidden="1" x14ac:dyDescent="0.3">
      <c r="B1168" s="83"/>
      <c r="G1168" s="68"/>
      <c r="H1168" s="364" t="s">
        <v>776</v>
      </c>
      <c r="I1168" s="83"/>
    </row>
    <row r="1169" spans="2:9" ht="15.5" hidden="1" x14ac:dyDescent="0.3">
      <c r="B1169" s="83"/>
      <c r="G1169" s="68"/>
      <c r="H1169" s="364" t="s">
        <v>778</v>
      </c>
      <c r="I1169" s="83"/>
    </row>
    <row r="1170" spans="2:9" ht="15.5" hidden="1" x14ac:dyDescent="0.3">
      <c r="B1170" s="83"/>
      <c r="G1170" s="68"/>
      <c r="H1170" s="364" t="s">
        <v>780</v>
      </c>
      <c r="I1170" s="83"/>
    </row>
    <row r="1171" spans="2:9" ht="15.5" hidden="1" x14ac:dyDescent="0.3">
      <c r="B1171" s="83"/>
      <c r="G1171" s="68"/>
      <c r="H1171" s="364" t="s">
        <v>782</v>
      </c>
      <c r="I1171" s="83"/>
    </row>
    <row r="1172" spans="2:9" ht="15.5" hidden="1" x14ac:dyDescent="0.3">
      <c r="B1172" s="83"/>
      <c r="G1172" s="68"/>
      <c r="H1172" s="364" t="s">
        <v>784</v>
      </c>
      <c r="I1172" s="83"/>
    </row>
    <row r="1173" spans="2:9" ht="15.5" hidden="1" x14ac:dyDescent="0.3">
      <c r="B1173" s="83"/>
      <c r="G1173" s="68"/>
      <c r="H1173" s="364" t="s">
        <v>786</v>
      </c>
      <c r="I1173" s="83"/>
    </row>
    <row r="1174" spans="2:9" ht="15.5" hidden="1" x14ac:dyDescent="0.3">
      <c r="B1174" s="83"/>
      <c r="G1174" s="68"/>
      <c r="H1174" s="364" t="s">
        <v>788</v>
      </c>
      <c r="I1174" s="83"/>
    </row>
    <row r="1175" spans="2:9" ht="15.5" hidden="1" x14ac:dyDescent="0.3">
      <c r="B1175" s="83"/>
      <c r="G1175" s="68"/>
      <c r="H1175" s="364" t="s">
        <v>790</v>
      </c>
      <c r="I1175" s="83"/>
    </row>
    <row r="1176" spans="2:9" ht="15.5" hidden="1" x14ac:dyDescent="0.3">
      <c r="B1176" s="83"/>
      <c r="G1176" s="68"/>
      <c r="H1176" s="364" t="s">
        <v>792</v>
      </c>
      <c r="I1176" s="83"/>
    </row>
    <row r="1177" spans="2:9" ht="15.5" hidden="1" x14ac:dyDescent="0.3">
      <c r="B1177" s="83"/>
      <c r="G1177" s="68"/>
      <c r="H1177" s="364" t="s">
        <v>794</v>
      </c>
      <c r="I1177" s="83"/>
    </row>
    <row r="1178" spans="2:9" ht="15.5" hidden="1" x14ac:dyDescent="0.3">
      <c r="B1178" s="83"/>
      <c r="G1178" s="68"/>
      <c r="H1178" s="364" t="s">
        <v>796</v>
      </c>
      <c r="I1178" s="83"/>
    </row>
    <row r="1179" spans="2:9" ht="15.5" hidden="1" x14ac:dyDescent="0.3">
      <c r="B1179" s="83"/>
      <c r="G1179" s="68"/>
      <c r="H1179" s="364" t="s">
        <v>798</v>
      </c>
      <c r="I1179" s="83"/>
    </row>
    <row r="1180" spans="2:9" ht="15.5" hidden="1" x14ac:dyDescent="0.3">
      <c r="B1180" s="83"/>
      <c r="G1180" s="68"/>
      <c r="H1180" s="364" t="s">
        <v>800</v>
      </c>
      <c r="I1180" s="83"/>
    </row>
    <row r="1181" spans="2:9" ht="15.5" hidden="1" x14ac:dyDescent="0.3">
      <c r="B1181" s="83"/>
      <c r="G1181" s="68"/>
      <c r="H1181" s="364" t="s">
        <v>802</v>
      </c>
      <c r="I1181" s="83"/>
    </row>
    <row r="1182" spans="2:9" ht="15.5" hidden="1" x14ac:dyDescent="0.3">
      <c r="B1182" s="83"/>
      <c r="G1182" s="68"/>
      <c r="H1182" s="364" t="s">
        <v>804</v>
      </c>
      <c r="I1182" s="83"/>
    </row>
    <row r="1183" spans="2:9" ht="15.5" hidden="1" x14ac:dyDescent="0.3">
      <c r="B1183" s="83"/>
      <c r="G1183" s="68"/>
      <c r="H1183" s="364" t="s">
        <v>1471</v>
      </c>
      <c r="I1183" s="83"/>
    </row>
    <row r="1184" spans="2:9" ht="15.5" hidden="1" x14ac:dyDescent="0.3">
      <c r="B1184" s="83"/>
      <c r="G1184" s="68"/>
      <c r="H1184" s="364" t="s">
        <v>1472</v>
      </c>
      <c r="I1184" s="83"/>
    </row>
    <row r="1185" spans="2:9" ht="15.5" hidden="1" x14ac:dyDescent="0.3">
      <c r="B1185" s="83"/>
      <c r="G1185" s="68"/>
      <c r="H1185" s="364" t="s">
        <v>806</v>
      </c>
      <c r="I1185" s="83"/>
    </row>
    <row r="1186" spans="2:9" ht="15.5" hidden="1" x14ac:dyDescent="0.3">
      <c r="B1186" s="83"/>
      <c r="G1186" s="68"/>
      <c r="H1186" s="364" t="s">
        <v>1473</v>
      </c>
      <c r="I1186" s="83"/>
    </row>
    <row r="1187" spans="2:9" ht="15.5" hidden="1" x14ac:dyDescent="0.3">
      <c r="B1187" s="83"/>
      <c r="G1187" s="68"/>
      <c r="H1187" s="364" t="s">
        <v>1474</v>
      </c>
      <c r="I1187" s="83"/>
    </row>
    <row r="1188" spans="2:9" ht="15.5" hidden="1" x14ac:dyDescent="0.3">
      <c r="B1188" s="83"/>
      <c r="G1188" s="68"/>
      <c r="H1188" s="364" t="s">
        <v>1475</v>
      </c>
      <c r="I1188" s="83"/>
    </row>
    <row r="1189" spans="2:9" ht="15.5" hidden="1" x14ac:dyDescent="0.3">
      <c r="B1189" s="83"/>
      <c r="G1189" s="68"/>
      <c r="H1189" s="364" t="s">
        <v>1476</v>
      </c>
      <c r="I1189" s="83"/>
    </row>
    <row r="1190" spans="2:9" ht="15.5" hidden="1" x14ac:dyDescent="0.3">
      <c r="B1190" s="83"/>
      <c r="G1190" s="68"/>
      <c r="H1190" s="364" t="s">
        <v>808</v>
      </c>
      <c r="I1190" s="83"/>
    </row>
    <row r="1191" spans="2:9" ht="15.5" hidden="1" x14ac:dyDescent="0.3">
      <c r="B1191" s="83"/>
      <c r="G1191" s="68"/>
      <c r="H1191" s="364" t="s">
        <v>810</v>
      </c>
      <c r="I1191" s="83"/>
    </row>
    <row r="1192" spans="2:9" ht="15.5" hidden="1" x14ac:dyDescent="0.3">
      <c r="B1192" s="83"/>
      <c r="G1192" s="68"/>
      <c r="H1192" s="364" t="s">
        <v>811</v>
      </c>
      <c r="I1192" s="83"/>
    </row>
    <row r="1193" spans="2:9" ht="15.5" hidden="1" x14ac:dyDescent="0.3">
      <c r="B1193" s="83"/>
      <c r="G1193" s="68"/>
      <c r="H1193" s="364" t="s">
        <v>812</v>
      </c>
      <c r="I1193" s="83"/>
    </row>
    <row r="1194" spans="2:9" ht="15.5" hidden="1" x14ac:dyDescent="0.3">
      <c r="B1194" s="83"/>
      <c r="G1194" s="68"/>
      <c r="H1194" s="364" t="s">
        <v>813</v>
      </c>
      <c r="I1194" s="83"/>
    </row>
    <row r="1195" spans="2:9" ht="15.5" hidden="1" x14ac:dyDescent="0.3">
      <c r="B1195" s="83"/>
      <c r="G1195" s="68"/>
      <c r="H1195" s="364" t="s">
        <v>814</v>
      </c>
      <c r="I1195" s="83"/>
    </row>
    <row r="1196" spans="2:9" ht="15.5" hidden="1" x14ac:dyDescent="0.3">
      <c r="B1196" s="83"/>
      <c r="G1196" s="68"/>
      <c r="H1196" s="364" t="s">
        <v>815</v>
      </c>
      <c r="I1196" s="83"/>
    </row>
    <row r="1197" spans="2:9" ht="15.5" hidden="1" x14ac:dyDescent="0.3">
      <c r="B1197" s="83"/>
      <c r="G1197" s="68"/>
      <c r="H1197" s="364" t="s">
        <v>816</v>
      </c>
      <c r="I1197" s="83"/>
    </row>
    <row r="1198" spans="2:9" ht="15.5" hidden="1" x14ac:dyDescent="0.3">
      <c r="B1198" s="83"/>
      <c r="G1198" s="68"/>
      <c r="H1198" s="364" t="s">
        <v>818</v>
      </c>
      <c r="I1198" s="83"/>
    </row>
    <row r="1199" spans="2:9" ht="15.5" hidden="1" x14ac:dyDescent="0.3">
      <c r="B1199" s="83"/>
      <c r="G1199" s="68"/>
      <c r="H1199" s="364" t="s">
        <v>820</v>
      </c>
      <c r="I1199" s="83"/>
    </row>
    <row r="1200" spans="2:9" ht="15.5" hidden="1" x14ac:dyDescent="0.3">
      <c r="B1200" s="83"/>
      <c r="G1200" s="68"/>
      <c r="H1200" s="364" t="s">
        <v>821</v>
      </c>
      <c r="I1200" s="83"/>
    </row>
    <row r="1201" spans="2:34" ht="15.5" hidden="1" x14ac:dyDescent="0.3">
      <c r="B1201" s="83"/>
      <c r="G1201" s="68"/>
      <c r="H1201" s="364" t="s">
        <v>823</v>
      </c>
      <c r="I1201" s="83"/>
    </row>
    <row r="1202" spans="2:34" ht="15.5" hidden="1" x14ac:dyDescent="0.3">
      <c r="B1202" s="83"/>
      <c r="G1202" s="68"/>
      <c r="H1202" s="364" t="s">
        <v>825</v>
      </c>
      <c r="I1202" s="83"/>
    </row>
    <row r="1203" spans="2:34" ht="15.5" hidden="1" x14ac:dyDescent="0.3">
      <c r="B1203" s="83"/>
      <c r="G1203" s="68"/>
      <c r="H1203" s="364" t="s">
        <v>826</v>
      </c>
      <c r="I1203" s="85"/>
    </row>
    <row r="1204" spans="2:34" ht="15.5" hidden="1" x14ac:dyDescent="0.3">
      <c r="B1204" s="85"/>
      <c r="G1204" s="68"/>
      <c r="H1204" s="364" t="s">
        <v>827</v>
      </c>
      <c r="I1204" s="83"/>
    </row>
    <row r="1205" spans="2:34" ht="15.5" hidden="1" x14ac:dyDescent="0.3">
      <c r="B1205" s="83"/>
      <c r="G1205" s="68"/>
      <c r="H1205" s="364" t="s">
        <v>828</v>
      </c>
      <c r="I1205" s="83"/>
    </row>
    <row r="1206" spans="2:34" ht="15.5" hidden="1" x14ac:dyDescent="0.3">
      <c r="B1206" s="83"/>
      <c r="G1206" s="68"/>
      <c r="H1206" s="364" t="s">
        <v>830</v>
      </c>
      <c r="I1206" s="83"/>
    </row>
    <row r="1207" spans="2:34" ht="15.5" hidden="1" x14ac:dyDescent="0.3">
      <c r="B1207" s="83"/>
      <c r="G1207" s="68"/>
      <c r="H1207" s="364" t="s">
        <v>1477</v>
      </c>
      <c r="I1207" s="83"/>
    </row>
    <row r="1208" spans="2:34" ht="15.5" hidden="1" x14ac:dyDescent="0.3">
      <c r="B1208" s="83"/>
      <c r="G1208" s="68"/>
      <c r="H1208" s="364" t="s">
        <v>1167</v>
      </c>
      <c r="I1208" s="83"/>
    </row>
    <row r="1209" spans="2:34" ht="15.5" hidden="1" x14ac:dyDescent="0.3">
      <c r="B1209" s="83"/>
      <c r="G1209" s="68"/>
      <c r="H1209" s="364" t="s">
        <v>832</v>
      </c>
      <c r="I1209" s="83"/>
    </row>
    <row r="1210" spans="2:34" ht="15.5" hidden="1" x14ac:dyDescent="0.3">
      <c r="B1210" s="83"/>
      <c r="G1210" s="68"/>
      <c r="H1210" s="364" t="s">
        <v>834</v>
      </c>
      <c r="I1210" s="83"/>
    </row>
    <row r="1211" spans="2:34" ht="15.5" hidden="1" x14ac:dyDescent="0.3">
      <c r="B1211" s="83"/>
      <c r="G1211" s="1044"/>
      <c r="H1211" s="1081" t="s">
        <v>2019</v>
      </c>
      <c r="I1211" s="83"/>
      <c r="AE1211" s="1044"/>
      <c r="AF1211" s="1044"/>
      <c r="AG1211" s="1044"/>
      <c r="AH1211" s="1044"/>
    </row>
    <row r="1212" spans="2:34" ht="15.5" hidden="1" x14ac:dyDescent="0.3">
      <c r="B1212" s="83"/>
      <c r="G1212" s="1044"/>
      <c r="H1212" s="1082" t="s">
        <v>2020</v>
      </c>
      <c r="I1212" s="83"/>
      <c r="AE1212" s="1044"/>
      <c r="AF1212" s="1044"/>
      <c r="AG1212" s="1044"/>
      <c r="AH1212" s="1044"/>
    </row>
    <row r="1213" spans="2:34" ht="15.5" hidden="1" x14ac:dyDescent="0.3">
      <c r="B1213" s="83"/>
      <c r="G1213" s="1044"/>
      <c r="H1213" s="1082" t="s">
        <v>2021</v>
      </c>
      <c r="I1213" s="83"/>
      <c r="AE1213" s="1044"/>
      <c r="AF1213" s="1044"/>
      <c r="AG1213" s="1044"/>
      <c r="AH1213" s="1044"/>
    </row>
    <row r="1214" spans="2:34" ht="15.5" hidden="1" x14ac:dyDescent="0.3">
      <c r="B1214" s="83"/>
      <c r="G1214" s="1044"/>
      <c r="H1214" s="1082" t="s">
        <v>2022</v>
      </c>
      <c r="I1214" s="83"/>
      <c r="AE1214" s="1044"/>
      <c r="AF1214" s="1044"/>
      <c r="AG1214" s="1044"/>
      <c r="AH1214" s="1044"/>
    </row>
    <row r="1215" spans="2:34" ht="15.5" hidden="1" x14ac:dyDescent="0.35">
      <c r="B1215" s="83"/>
      <c r="G1215" s="1044"/>
      <c r="H1215" s="1083" t="s">
        <v>2023</v>
      </c>
      <c r="I1215" s="83"/>
      <c r="AE1215" s="1044"/>
      <c r="AF1215" s="1044"/>
      <c r="AG1215" s="1044"/>
      <c r="AH1215" s="1044"/>
    </row>
    <row r="1216" spans="2:34" ht="15.5" hidden="1" x14ac:dyDescent="0.35">
      <c r="B1216" s="83"/>
      <c r="G1216" s="1044"/>
      <c r="H1216" s="1083" t="s">
        <v>2024</v>
      </c>
      <c r="I1216" s="83"/>
      <c r="AE1216" s="1044"/>
      <c r="AF1216" s="1044"/>
      <c r="AG1216" s="1044"/>
      <c r="AH1216" s="1044"/>
    </row>
    <row r="1217" spans="2:34" ht="15.5" hidden="1" x14ac:dyDescent="0.35">
      <c r="B1217" s="83"/>
      <c r="G1217" s="1044"/>
      <c r="H1217" s="1083" t="s">
        <v>2025</v>
      </c>
      <c r="I1217" s="83"/>
      <c r="AE1217" s="1044"/>
      <c r="AF1217" s="1044"/>
      <c r="AG1217" s="1044"/>
      <c r="AH1217" s="1044"/>
    </row>
    <row r="1218" spans="2:34" ht="15.5" hidden="1" x14ac:dyDescent="0.35">
      <c r="B1218" s="83"/>
      <c r="G1218" s="1044"/>
      <c r="H1218" s="1083" t="s">
        <v>532</v>
      </c>
      <c r="I1218" s="83"/>
      <c r="AE1218" s="1044"/>
      <c r="AF1218" s="1044"/>
      <c r="AG1218" s="1044"/>
      <c r="AH1218" s="1044"/>
    </row>
    <row r="1219" spans="2:34" ht="15.5" hidden="1" x14ac:dyDescent="0.35">
      <c r="B1219" s="83"/>
      <c r="G1219" s="1044"/>
      <c r="H1219" s="1085" t="s">
        <v>2028</v>
      </c>
      <c r="I1219" s="83"/>
      <c r="AE1219" s="1044"/>
      <c r="AF1219" s="1044"/>
      <c r="AG1219" s="1044"/>
      <c r="AH1219" s="1044"/>
    </row>
    <row r="1220" spans="2:34" ht="15.5" hidden="1" x14ac:dyDescent="0.3">
      <c r="B1220" s="83"/>
      <c r="G1220" s="1044"/>
      <c r="H1220" s="1081" t="s">
        <v>2030</v>
      </c>
      <c r="I1220" s="83"/>
      <c r="AE1220" s="1044"/>
      <c r="AF1220" s="1044"/>
      <c r="AG1220" s="1044"/>
      <c r="AH1220" s="1044"/>
    </row>
    <row r="1221" spans="2:34" ht="15.5" hidden="1" x14ac:dyDescent="0.3">
      <c r="B1221" s="83"/>
      <c r="G1221" s="1044"/>
      <c r="H1221" s="1081" t="s">
        <v>2032</v>
      </c>
      <c r="I1221" s="83"/>
      <c r="AE1221" s="1044"/>
      <c r="AF1221" s="1044"/>
      <c r="AG1221" s="1044"/>
      <c r="AH1221" s="1044"/>
    </row>
    <row r="1222" spans="2:34" ht="15.5" hidden="1" x14ac:dyDescent="0.35">
      <c r="H1222" s="381" t="s">
        <v>835</v>
      </c>
    </row>
  </sheetData>
  <sheetProtection selectLockedCells="1" sort="0"/>
  <customSheetViews>
    <customSheetView guid="{EBF27D8D-2DD9-43E5-8C42-19F0B73014F5}" scale="55" showPageBreaks="1" view="pageBreakPreview">
      <selection activeCell="L16" sqref="L16:AB17"/>
      <rowBreaks count="2" manualBreakCount="2">
        <brk id="501" min="3" max="28" man="1"/>
        <brk id="614" min="3" max="28" man="1"/>
      </rowBreaks>
      <pageMargins left="0.7" right="0.7" top="0.75" bottom="0.75" header="0.3" footer="0.3"/>
      <pageSetup paperSize="9" scale="41" orientation="portrait" horizontalDpi="4294967292" r:id="rId1"/>
    </customSheetView>
  </customSheetViews>
  <mergeCells count="2580">
    <mergeCell ref="J74:K74"/>
    <mergeCell ref="J75:K75"/>
    <mergeCell ref="O570:P570"/>
    <mergeCell ref="Z565:AA565"/>
    <mergeCell ref="Z566:AA566"/>
    <mergeCell ref="Z567:AA567"/>
    <mergeCell ref="Z568:AA568"/>
    <mergeCell ref="Z569:AA569"/>
    <mergeCell ref="Z570:AA570"/>
    <mergeCell ref="Z576:AA576"/>
    <mergeCell ref="AF359:AG359"/>
    <mergeCell ref="AF360:AG360"/>
    <mergeCell ref="AF361:AG361"/>
    <mergeCell ref="AF362:AG362"/>
    <mergeCell ref="AF363:AG363"/>
    <mergeCell ref="AF371:AG371"/>
    <mergeCell ref="AF372:AG372"/>
    <mergeCell ref="AF373:AG373"/>
    <mergeCell ref="AF374:AG374"/>
    <mergeCell ref="AF375:AG375"/>
    <mergeCell ref="AF376:AG376"/>
    <mergeCell ref="AF377:AG377"/>
    <mergeCell ref="AF378:AG378"/>
    <mergeCell ref="Z397:AB397"/>
    <mergeCell ref="P398:V398"/>
    <mergeCell ref="W398:Y398"/>
    <mergeCell ref="W392:Y392"/>
    <mergeCell ref="W396:Y396"/>
    <mergeCell ref="Z396:AB396"/>
    <mergeCell ref="P397:V397"/>
    <mergeCell ref="W397:Y397"/>
    <mergeCell ref="Z398:AB398"/>
    <mergeCell ref="O544:P544"/>
    <mergeCell ref="Q544:S544"/>
    <mergeCell ref="AF315:AG315"/>
    <mergeCell ref="T570:V570"/>
    <mergeCell ref="W565:Y565"/>
    <mergeCell ref="W566:Y566"/>
    <mergeCell ref="W567:Y567"/>
    <mergeCell ref="W568:Y568"/>
    <mergeCell ref="W569:Y569"/>
    <mergeCell ref="W570:Y570"/>
    <mergeCell ref="AF358:AG358"/>
    <mergeCell ref="AF316:AG316"/>
    <mergeCell ref="AF323:AG323"/>
    <mergeCell ref="AF325:AG325"/>
    <mergeCell ref="AF326:AG326"/>
    <mergeCell ref="AF329:AG329"/>
    <mergeCell ref="AF330:AG330"/>
    <mergeCell ref="AF334:AG334"/>
    <mergeCell ref="AF335:AG335"/>
    <mergeCell ref="AF337:AG337"/>
    <mergeCell ref="AF344:AG344"/>
    <mergeCell ref="AF345:AG345"/>
    <mergeCell ref="AF346:AG346"/>
    <mergeCell ref="AF347:AG347"/>
    <mergeCell ref="AF348:AG348"/>
    <mergeCell ref="T544:V544"/>
    <mergeCell ref="W544:Y544"/>
    <mergeCell ref="Z544:AA544"/>
    <mergeCell ref="B541:AA541"/>
    <mergeCell ref="B542:B543"/>
    <mergeCell ref="I542:P542"/>
    <mergeCell ref="Q542:AA542"/>
    <mergeCell ref="I543:J543"/>
    <mergeCell ref="K543:L543"/>
    <mergeCell ref="M570:N570"/>
    <mergeCell ref="B390:C390"/>
    <mergeCell ref="AF201:AG201"/>
    <mergeCell ref="AF204:AG204"/>
    <mergeCell ref="AF205:AG205"/>
    <mergeCell ref="AF213:AG213"/>
    <mergeCell ref="AF214:AG214"/>
    <mergeCell ref="AF215:AG215"/>
    <mergeCell ref="AF216:AG216"/>
    <mergeCell ref="AF226:AG226"/>
    <mergeCell ref="AF227:AG227"/>
    <mergeCell ref="AF228:AG228"/>
    <mergeCell ref="AF229:AG229"/>
    <mergeCell ref="AF230:AG230"/>
    <mergeCell ref="AF232:AG232"/>
    <mergeCell ref="AF349:AG349"/>
    <mergeCell ref="AF350:AG350"/>
    <mergeCell ref="AF351:AG351"/>
    <mergeCell ref="AF239:AG239"/>
    <mergeCell ref="AF240:AG240"/>
    <mergeCell ref="AF246:AG246"/>
    <mergeCell ref="AF253:AG253"/>
    <mergeCell ref="AF260:AG260"/>
    <mergeCell ref="AF306:AG306"/>
    <mergeCell ref="AF307:AG307"/>
    <mergeCell ref="AF308:AG308"/>
    <mergeCell ref="AF309:AG309"/>
    <mergeCell ref="AF310:AG310"/>
    <mergeCell ref="AF311:AG311"/>
    <mergeCell ref="AF312:AG312"/>
    <mergeCell ref="AF313:AG313"/>
    <mergeCell ref="AF314:AG314"/>
    <mergeCell ref="AF142:AG142"/>
    <mergeCell ref="AF143:AG143"/>
    <mergeCell ref="AF144:AG144"/>
    <mergeCell ref="AF145:AG145"/>
    <mergeCell ref="AF146:AG146"/>
    <mergeCell ref="AF147:AG147"/>
    <mergeCell ref="AF148:AG148"/>
    <mergeCell ref="AF149:AG149"/>
    <mergeCell ref="AF150:AG150"/>
    <mergeCell ref="AF151:AG151"/>
    <mergeCell ref="AF163:AG163"/>
    <mergeCell ref="AF164:AG164"/>
    <mergeCell ref="AF169:AG169"/>
    <mergeCell ref="AF180:AG180"/>
    <mergeCell ref="AF181:AG181"/>
    <mergeCell ref="AF182:AG182"/>
    <mergeCell ref="AF200:AG200"/>
    <mergeCell ref="B68:M68"/>
    <mergeCell ref="B222:M222"/>
    <mergeCell ref="B384:M384"/>
    <mergeCell ref="B506:M506"/>
    <mergeCell ref="B519:M519"/>
    <mergeCell ref="AF72:AG72"/>
    <mergeCell ref="AF73:AG73"/>
    <mergeCell ref="AF74:AG74"/>
    <mergeCell ref="AF75:AG75"/>
    <mergeCell ref="AF76:AG76"/>
    <mergeCell ref="AF77:AG77"/>
    <mergeCell ref="AF78:AG78"/>
    <mergeCell ref="AF79:AG79"/>
    <mergeCell ref="AF80:AG80"/>
    <mergeCell ref="AF81:AG81"/>
    <mergeCell ref="AF82:AG82"/>
    <mergeCell ref="AF83:AG83"/>
    <mergeCell ref="AF84:AG84"/>
    <mergeCell ref="AF85:AG85"/>
    <mergeCell ref="AF86:AG86"/>
    <mergeCell ref="AF87:AG87"/>
    <mergeCell ref="AF88:AG88"/>
    <mergeCell ref="AF89:AG89"/>
    <mergeCell ref="Z387:AB387"/>
    <mergeCell ref="Z388:AB388"/>
    <mergeCell ref="Z389:AB389"/>
    <mergeCell ref="Z395:AB395"/>
    <mergeCell ref="P396:V396"/>
    <mergeCell ref="D516:F516"/>
    <mergeCell ref="J516:K516"/>
    <mergeCell ref="J165:K165"/>
    <mergeCell ref="B199:C199"/>
    <mergeCell ref="B60:AC60"/>
    <mergeCell ref="B61:B62"/>
    <mergeCell ref="C61:J62"/>
    <mergeCell ref="K61:L62"/>
    <mergeCell ref="M61:N62"/>
    <mergeCell ref="P61:U61"/>
    <mergeCell ref="W61:AB61"/>
    <mergeCell ref="P62:R62"/>
    <mergeCell ref="S62:U62"/>
    <mergeCell ref="W62:Y62"/>
    <mergeCell ref="Z62:AB62"/>
    <mergeCell ref="C63:J63"/>
    <mergeCell ref="K63:L63"/>
    <mergeCell ref="M63:N63"/>
    <mergeCell ref="P63:R63"/>
    <mergeCell ref="S63:U63"/>
    <mergeCell ref="W63:Y63"/>
    <mergeCell ref="Z63:AB63"/>
    <mergeCell ref="C64:J64"/>
    <mergeCell ref="K64:L64"/>
    <mergeCell ref="M64:N64"/>
    <mergeCell ref="P64:R64"/>
    <mergeCell ref="S64:U64"/>
    <mergeCell ref="W64:Y64"/>
    <mergeCell ref="Z64:AB64"/>
    <mergeCell ref="AF139:AG139"/>
    <mergeCell ref="AF140:AG140"/>
    <mergeCell ref="AF141:AG141"/>
    <mergeCell ref="C65:J65"/>
    <mergeCell ref="K65:L65"/>
    <mergeCell ref="M65:N65"/>
    <mergeCell ref="P65:R65"/>
    <mergeCell ref="S65:U65"/>
    <mergeCell ref="W65:Y65"/>
    <mergeCell ref="Z65:AB65"/>
    <mergeCell ref="B73:C73"/>
    <mergeCell ref="D73:F73"/>
    <mergeCell ref="B87:C87"/>
    <mergeCell ref="D87:F87"/>
    <mergeCell ref="B140:C140"/>
    <mergeCell ref="B137:M137"/>
    <mergeCell ref="B138:C138"/>
    <mergeCell ref="D138:F138"/>
    <mergeCell ref="J138:K138"/>
    <mergeCell ref="B139:C139"/>
    <mergeCell ref="D139:F139"/>
    <mergeCell ref="J139:K139"/>
    <mergeCell ref="B74:C74"/>
    <mergeCell ref="D74:F74"/>
    <mergeCell ref="B88:C88"/>
    <mergeCell ref="C58:J58"/>
    <mergeCell ref="K58:L58"/>
    <mergeCell ref="M58:N58"/>
    <mergeCell ref="P58:R58"/>
    <mergeCell ref="S58:U58"/>
    <mergeCell ref="W58:Y58"/>
    <mergeCell ref="Z58:AB58"/>
    <mergeCell ref="C57:J57"/>
    <mergeCell ref="K57:L57"/>
    <mergeCell ref="M57:N57"/>
    <mergeCell ref="P57:R57"/>
    <mergeCell ref="S57:U57"/>
    <mergeCell ref="W57:Y57"/>
    <mergeCell ref="Z57:AB57"/>
    <mergeCell ref="C55:J55"/>
    <mergeCell ref="K55:L55"/>
    <mergeCell ref="M55:N55"/>
    <mergeCell ref="P55:R55"/>
    <mergeCell ref="S55:U55"/>
    <mergeCell ref="W55:Y55"/>
    <mergeCell ref="Z55:AB55"/>
    <mergeCell ref="C56:J56"/>
    <mergeCell ref="K56:L56"/>
    <mergeCell ref="M56:N56"/>
    <mergeCell ref="P56:R56"/>
    <mergeCell ref="S56:U56"/>
    <mergeCell ref="W56:Y56"/>
    <mergeCell ref="Z56:AB56"/>
    <mergeCell ref="P46:R46"/>
    <mergeCell ref="S46:U46"/>
    <mergeCell ref="W46:Y46"/>
    <mergeCell ref="Z46:AB46"/>
    <mergeCell ref="K47:L47"/>
    <mergeCell ref="M47:N47"/>
    <mergeCell ref="P47:R47"/>
    <mergeCell ref="C52:J53"/>
    <mergeCell ref="K52:L53"/>
    <mergeCell ref="M52:N53"/>
    <mergeCell ref="P52:U52"/>
    <mergeCell ref="W52:AB52"/>
    <mergeCell ref="P53:R53"/>
    <mergeCell ref="S53:U53"/>
    <mergeCell ref="W53:Y53"/>
    <mergeCell ref="Z53:AB53"/>
    <mergeCell ref="C54:J54"/>
    <mergeCell ref="K54:L54"/>
    <mergeCell ref="M54:N54"/>
    <mergeCell ref="P54:R54"/>
    <mergeCell ref="S54:U54"/>
    <mergeCell ref="W54:Y54"/>
    <mergeCell ref="Z54:AB54"/>
    <mergeCell ref="C47:J47"/>
    <mergeCell ref="B521:M521"/>
    <mergeCell ref="I665:J665"/>
    <mergeCell ref="K665:L665"/>
    <mergeCell ref="B400:M400"/>
    <mergeCell ref="S44:U44"/>
    <mergeCell ref="W44:Y44"/>
    <mergeCell ref="Z44:AB44"/>
    <mergeCell ref="C41:J42"/>
    <mergeCell ref="C48:J48"/>
    <mergeCell ref="K48:L48"/>
    <mergeCell ref="M48:N48"/>
    <mergeCell ref="P48:R48"/>
    <mergeCell ref="S48:U48"/>
    <mergeCell ref="W48:Y48"/>
    <mergeCell ref="Z48:AB48"/>
    <mergeCell ref="C49:J49"/>
    <mergeCell ref="K49:L49"/>
    <mergeCell ref="M49:N49"/>
    <mergeCell ref="P49:R49"/>
    <mergeCell ref="S49:U49"/>
    <mergeCell ref="W49:Y49"/>
    <mergeCell ref="Z49:AB49"/>
    <mergeCell ref="C45:J45"/>
    <mergeCell ref="K45:L45"/>
    <mergeCell ref="M45:N45"/>
    <mergeCell ref="P45:R45"/>
    <mergeCell ref="S45:U45"/>
    <mergeCell ref="W45:Y45"/>
    <mergeCell ref="Z45:AB45"/>
    <mergeCell ref="C46:J46"/>
    <mergeCell ref="K46:L46"/>
    <mergeCell ref="M46:N46"/>
    <mergeCell ref="B402:C402"/>
    <mergeCell ref="D397:F397"/>
    <mergeCell ref="J397:K397"/>
    <mergeCell ref="D398:F398"/>
    <mergeCell ref="J398:K398"/>
    <mergeCell ref="B411:C411"/>
    <mergeCell ref="D411:F411"/>
    <mergeCell ref="J411:K411"/>
    <mergeCell ref="D404:F404"/>
    <mergeCell ref="J404:K404"/>
    <mergeCell ref="B417:C417"/>
    <mergeCell ref="D417:F417"/>
    <mergeCell ref="J417:K417"/>
    <mergeCell ref="B418:C418"/>
    <mergeCell ref="D418:F418"/>
    <mergeCell ref="J418:K418"/>
    <mergeCell ref="D414:F414"/>
    <mergeCell ref="J414:K414"/>
    <mergeCell ref="B415:H415"/>
    <mergeCell ref="J415:M415"/>
    <mergeCell ref="B412:C412"/>
    <mergeCell ref="D412:F412"/>
    <mergeCell ref="J412:K412"/>
    <mergeCell ref="B413:C413"/>
    <mergeCell ref="D413:F413"/>
    <mergeCell ref="J413:K413"/>
    <mergeCell ref="B416:M416"/>
    <mergeCell ref="B399:H399"/>
    <mergeCell ref="J399:M399"/>
    <mergeCell ref="J409:K409"/>
    <mergeCell ref="B408:C408"/>
    <mergeCell ref="B520:H520"/>
    <mergeCell ref="B387:C387"/>
    <mergeCell ref="D387:F387"/>
    <mergeCell ref="J387:K387"/>
    <mergeCell ref="B388:C388"/>
    <mergeCell ref="D388:F388"/>
    <mergeCell ref="J388:K388"/>
    <mergeCell ref="B394:C394"/>
    <mergeCell ref="W389:Y389"/>
    <mergeCell ref="W390:Y390"/>
    <mergeCell ref="W391:Y391"/>
    <mergeCell ref="J395:K395"/>
    <mergeCell ref="B396:C396"/>
    <mergeCell ref="D396:F396"/>
    <mergeCell ref="J396:K396"/>
    <mergeCell ref="B407:C407"/>
    <mergeCell ref="D407:F407"/>
    <mergeCell ref="J407:K407"/>
    <mergeCell ref="W393:Y393"/>
    <mergeCell ref="W394:Y394"/>
    <mergeCell ref="W395:Y395"/>
    <mergeCell ref="J402:K402"/>
    <mergeCell ref="P395:V395"/>
    <mergeCell ref="W387:Y387"/>
    <mergeCell ref="W388:Y388"/>
    <mergeCell ref="D392:F392"/>
    <mergeCell ref="J392:K392"/>
    <mergeCell ref="B389:C389"/>
    <mergeCell ref="D389:F389"/>
    <mergeCell ref="J389:K389"/>
    <mergeCell ref="D401:F401"/>
    <mergeCell ref="J401:K401"/>
    <mergeCell ref="J199:K199"/>
    <mergeCell ref="B183:C183"/>
    <mergeCell ref="D183:F183"/>
    <mergeCell ref="J183:K183"/>
    <mergeCell ref="Z390:AB390"/>
    <mergeCell ref="Z391:AB391"/>
    <mergeCell ref="Z392:AB392"/>
    <mergeCell ref="Z393:AB393"/>
    <mergeCell ref="Z394:AB394"/>
    <mergeCell ref="P389:V389"/>
    <mergeCell ref="P390:V390"/>
    <mergeCell ref="P391:V391"/>
    <mergeCell ref="P392:V392"/>
    <mergeCell ref="P393:V393"/>
    <mergeCell ref="P394:V394"/>
    <mergeCell ref="W386:Y386"/>
    <mergeCell ref="Z386:AB386"/>
    <mergeCell ref="D213:F213"/>
    <mergeCell ref="J213:K213"/>
    <mergeCell ref="J238:K238"/>
    <mergeCell ref="B223:H223"/>
    <mergeCell ref="J223:M223"/>
    <mergeCell ref="B216:C216"/>
    <mergeCell ref="D216:F216"/>
    <mergeCell ref="J216:K216"/>
    <mergeCell ref="B214:C214"/>
    <mergeCell ref="J217:K217"/>
    <mergeCell ref="B218:C218"/>
    <mergeCell ref="D214:F214"/>
    <mergeCell ref="D244:F244"/>
    <mergeCell ref="D245:F245"/>
    <mergeCell ref="D238:F238"/>
    <mergeCell ref="J174:K174"/>
    <mergeCell ref="J180:K180"/>
    <mergeCell ref="J171:K171"/>
    <mergeCell ref="J172:K172"/>
    <mergeCell ref="J195:K195"/>
    <mergeCell ref="J176:K176"/>
    <mergeCell ref="P386:V386"/>
    <mergeCell ref="P387:V387"/>
    <mergeCell ref="P388:V388"/>
    <mergeCell ref="J344:K344"/>
    <mergeCell ref="D347:F347"/>
    <mergeCell ref="J347:K347"/>
    <mergeCell ref="P230:V230"/>
    <mergeCell ref="D151:F151"/>
    <mergeCell ref="D402:F402"/>
    <mergeCell ref="B397:C397"/>
    <mergeCell ref="J179:K179"/>
    <mergeCell ref="B173:C173"/>
    <mergeCell ref="B174:C174"/>
    <mergeCell ref="B171:C171"/>
    <mergeCell ref="J178:K178"/>
    <mergeCell ref="D179:F179"/>
    <mergeCell ref="J151:K151"/>
    <mergeCell ref="P224:V224"/>
    <mergeCell ref="D169:F169"/>
    <mergeCell ref="B172:C172"/>
    <mergeCell ref="B170:C170"/>
    <mergeCell ref="B184:C184"/>
    <mergeCell ref="J182:K182"/>
    <mergeCell ref="D205:F205"/>
    <mergeCell ref="J205:K205"/>
    <mergeCell ref="B200:C200"/>
    <mergeCell ref="J148:K148"/>
    <mergeCell ref="B163:C163"/>
    <mergeCell ref="D163:F163"/>
    <mergeCell ref="J163:K163"/>
    <mergeCell ref="B164:C164"/>
    <mergeCell ref="D164:F164"/>
    <mergeCell ref="J177:K177"/>
    <mergeCell ref="D181:F181"/>
    <mergeCell ref="J181:K181"/>
    <mergeCell ref="D394:F394"/>
    <mergeCell ref="J394:K394"/>
    <mergeCell ref="B149:C149"/>
    <mergeCell ref="D149:F149"/>
    <mergeCell ref="J149:K149"/>
    <mergeCell ref="J169:K169"/>
    <mergeCell ref="J164:K164"/>
    <mergeCell ref="D188:F188"/>
    <mergeCell ref="J188:K188"/>
    <mergeCell ref="D218:F218"/>
    <mergeCell ref="J276:K276"/>
    <mergeCell ref="D315:F315"/>
    <mergeCell ref="J328:K328"/>
    <mergeCell ref="D184:F184"/>
    <mergeCell ref="J184:K184"/>
    <mergeCell ref="B187:M187"/>
    <mergeCell ref="B188:C188"/>
    <mergeCell ref="B167:M167"/>
    <mergeCell ref="B168:C168"/>
    <mergeCell ref="D168:F168"/>
    <mergeCell ref="J168:K168"/>
    <mergeCell ref="J241:K241"/>
    <mergeCell ref="B169:C169"/>
    <mergeCell ref="D88:F88"/>
    <mergeCell ref="B86:C86"/>
    <mergeCell ref="D86:F86"/>
    <mergeCell ref="D75:F75"/>
    <mergeCell ref="D76:F76"/>
    <mergeCell ref="D77:F77"/>
    <mergeCell ref="D78:F78"/>
    <mergeCell ref="D81:F81"/>
    <mergeCell ref="D83:F83"/>
    <mergeCell ref="B85:C85"/>
    <mergeCell ref="D85:F85"/>
    <mergeCell ref="B84:C84"/>
    <mergeCell ref="D84:F84"/>
    <mergeCell ref="B75:C75"/>
    <mergeCell ref="B76:C76"/>
    <mergeCell ref="B81:C81"/>
    <mergeCell ref="B77:C77"/>
    <mergeCell ref="B78:C78"/>
    <mergeCell ref="B83:C83"/>
    <mergeCell ref="B104:C104"/>
    <mergeCell ref="B105:C105"/>
    <mergeCell ref="B106:C106"/>
    <mergeCell ref="B90:C90"/>
    <mergeCell ref="D91:F91"/>
    <mergeCell ref="D92:F92"/>
    <mergeCell ref="D93:F93"/>
    <mergeCell ref="D94:F94"/>
    <mergeCell ref="D95:F95"/>
    <mergeCell ref="D96:F96"/>
    <mergeCell ref="D97:F97"/>
    <mergeCell ref="D98:F98"/>
    <mergeCell ref="D99:F99"/>
    <mergeCell ref="D100:F100"/>
    <mergeCell ref="D101:F101"/>
    <mergeCell ref="B120:C120"/>
    <mergeCell ref="D104:F104"/>
    <mergeCell ref="D105:F105"/>
    <mergeCell ref="B153:C153"/>
    <mergeCell ref="B122:C122"/>
    <mergeCell ref="B123:C123"/>
    <mergeCell ref="B124:C124"/>
    <mergeCell ref="B126:C126"/>
    <mergeCell ref="B135:C135"/>
    <mergeCell ref="B82:C82"/>
    <mergeCell ref="B91:C91"/>
    <mergeCell ref="B92:C92"/>
    <mergeCell ref="B93:C93"/>
    <mergeCell ref="B94:C94"/>
    <mergeCell ref="B95:C95"/>
    <mergeCell ref="B107:C107"/>
    <mergeCell ref="B108:C108"/>
    <mergeCell ref="B109:C109"/>
    <mergeCell ref="B110:C110"/>
    <mergeCell ref="B111:C111"/>
    <mergeCell ref="B112:C112"/>
    <mergeCell ref="B113:C113"/>
    <mergeCell ref="B115:C115"/>
    <mergeCell ref="B134:C134"/>
    <mergeCell ref="B152:C152"/>
    <mergeCell ref="B142:C142"/>
    <mergeCell ref="B118:C118"/>
    <mergeCell ref="B119:C119"/>
    <mergeCell ref="B143:C143"/>
    <mergeCell ref="B136:H136"/>
    <mergeCell ref="B125:C125"/>
    <mergeCell ref="D106:F106"/>
    <mergeCell ref="D102:F102"/>
    <mergeCell ref="D103:F103"/>
    <mergeCell ref="B103:C103"/>
    <mergeCell ref="D180:F180"/>
    <mergeCell ref="B166:H166"/>
    <mergeCell ref="D171:F171"/>
    <mergeCell ref="D172:F172"/>
    <mergeCell ref="D176:F176"/>
    <mergeCell ref="B181:C181"/>
    <mergeCell ref="B141:C141"/>
    <mergeCell ref="D141:F141"/>
    <mergeCell ref="B150:C150"/>
    <mergeCell ref="D159:F159"/>
    <mergeCell ref="D160:F160"/>
    <mergeCell ref="D165:F165"/>
    <mergeCell ref="B151:C151"/>
    <mergeCell ref="B146:C146"/>
    <mergeCell ref="D146:F146"/>
    <mergeCell ref="B147:C147"/>
    <mergeCell ref="D147:F147"/>
    <mergeCell ref="B148:C148"/>
    <mergeCell ref="D148:F148"/>
    <mergeCell ref="D178:F178"/>
    <mergeCell ref="D152:F152"/>
    <mergeCell ref="D153:F153"/>
    <mergeCell ref="D154:F154"/>
    <mergeCell ref="D155:F155"/>
    <mergeCell ref="D150:F150"/>
    <mergeCell ref="B159:C159"/>
    <mergeCell ref="B154:C154"/>
    <mergeCell ref="B155:C155"/>
    <mergeCell ref="B175:C175"/>
    <mergeCell ref="D175:F175"/>
    <mergeCell ref="D177:F177"/>
    <mergeCell ref="B180:C180"/>
    <mergeCell ref="D199:F199"/>
    <mergeCell ref="B250:H250"/>
    <mergeCell ref="D182:F182"/>
    <mergeCell ref="B193:C193"/>
    <mergeCell ref="D194:F194"/>
    <mergeCell ref="J194:K194"/>
    <mergeCell ref="J192:K192"/>
    <mergeCell ref="D190:F190"/>
    <mergeCell ref="J190:K190"/>
    <mergeCell ref="B191:C191"/>
    <mergeCell ref="D191:F191"/>
    <mergeCell ref="J191:K191"/>
    <mergeCell ref="D193:F193"/>
    <mergeCell ref="J193:K193"/>
    <mergeCell ref="B194:C194"/>
    <mergeCell ref="D195:F195"/>
    <mergeCell ref="B182:C182"/>
    <mergeCell ref="D231:F231"/>
    <mergeCell ref="B245:C245"/>
    <mergeCell ref="B224:M224"/>
    <mergeCell ref="J231:K231"/>
    <mergeCell ref="B229:C229"/>
    <mergeCell ref="D229:F229"/>
    <mergeCell ref="J208:K208"/>
    <mergeCell ref="B210:M211"/>
    <mergeCell ref="B212:C212"/>
    <mergeCell ref="D212:F212"/>
    <mergeCell ref="J212:K212"/>
    <mergeCell ref="B209:H209"/>
    <mergeCell ref="J209:M209"/>
    <mergeCell ref="B217:C217"/>
    <mergeCell ref="B213:C213"/>
    <mergeCell ref="B290:H290"/>
    <mergeCell ref="B274:H274"/>
    <mergeCell ref="J263:K263"/>
    <mergeCell ref="J269:K269"/>
    <mergeCell ref="J271:K271"/>
    <mergeCell ref="J270:K270"/>
    <mergeCell ref="B264:H264"/>
    <mergeCell ref="J264:M264"/>
    <mergeCell ref="B265:M265"/>
    <mergeCell ref="B266:C266"/>
    <mergeCell ref="D266:F266"/>
    <mergeCell ref="J266:K266"/>
    <mergeCell ref="B268:C268"/>
    <mergeCell ref="B269:C269"/>
    <mergeCell ref="D268:F268"/>
    <mergeCell ref="B239:C239"/>
    <mergeCell ref="D239:F239"/>
    <mergeCell ref="J239:K239"/>
    <mergeCell ref="B240:C240"/>
    <mergeCell ref="D240:F240"/>
    <mergeCell ref="J240:K240"/>
    <mergeCell ref="B258:M258"/>
    <mergeCell ref="D312:F312"/>
    <mergeCell ref="J261:K261"/>
    <mergeCell ref="J290:M290"/>
    <mergeCell ref="B291:M291"/>
    <mergeCell ref="B292:C292"/>
    <mergeCell ref="B272:C272"/>
    <mergeCell ref="D272:F272"/>
    <mergeCell ref="J272:K272"/>
    <mergeCell ref="D273:F273"/>
    <mergeCell ref="J273:K273"/>
    <mergeCell ref="D271:F271"/>
    <mergeCell ref="D263:F263"/>
    <mergeCell ref="B305:C305"/>
    <mergeCell ref="D305:F305"/>
    <mergeCell ref="J305:K305"/>
    <mergeCell ref="B306:C306"/>
    <mergeCell ref="D306:F306"/>
    <mergeCell ref="J306:K306"/>
    <mergeCell ref="J285:K285"/>
    <mergeCell ref="D286:F286"/>
    <mergeCell ref="J286:K286"/>
    <mergeCell ref="J268:K268"/>
    <mergeCell ref="D269:F269"/>
    <mergeCell ref="B293:C293"/>
    <mergeCell ref="J289:K289"/>
    <mergeCell ref="B285:C285"/>
    <mergeCell ref="B286:C286"/>
    <mergeCell ref="D285:F285"/>
    <mergeCell ref="D270:F270"/>
    <mergeCell ref="J274:M274"/>
    <mergeCell ref="B275:M275"/>
    <mergeCell ref="B276:C276"/>
    <mergeCell ref="J323:K323"/>
    <mergeCell ref="B316:C316"/>
    <mergeCell ref="D316:F316"/>
    <mergeCell ref="J316:K316"/>
    <mergeCell ref="B317:C317"/>
    <mergeCell ref="D317:F317"/>
    <mergeCell ref="B299:C299"/>
    <mergeCell ref="D294:F294"/>
    <mergeCell ref="J294:K294"/>
    <mergeCell ref="D295:F295"/>
    <mergeCell ref="D297:F297"/>
    <mergeCell ref="J297:K297"/>
    <mergeCell ref="D298:F298"/>
    <mergeCell ref="J298:K298"/>
    <mergeCell ref="D299:F299"/>
    <mergeCell ref="J299:K299"/>
    <mergeCell ref="B303:H303"/>
    <mergeCell ref="J303:M303"/>
    <mergeCell ref="B296:C296"/>
    <mergeCell ref="B297:C297"/>
    <mergeCell ref="B298:C298"/>
    <mergeCell ref="B309:C309"/>
    <mergeCell ref="D309:F309"/>
    <mergeCell ref="J295:K295"/>
    <mergeCell ref="J309:K309"/>
    <mergeCell ref="B310:C310"/>
    <mergeCell ref="D310:F310"/>
    <mergeCell ref="J310:K310"/>
    <mergeCell ref="B311:C311"/>
    <mergeCell ref="D311:F311"/>
    <mergeCell ref="J311:K311"/>
    <mergeCell ref="B312:C312"/>
    <mergeCell ref="B324:C324"/>
    <mergeCell ref="B327:C327"/>
    <mergeCell ref="B328:C328"/>
    <mergeCell ref="B331:C331"/>
    <mergeCell ref="D326:F326"/>
    <mergeCell ref="J326:K326"/>
    <mergeCell ref="B329:C329"/>
    <mergeCell ref="D329:F329"/>
    <mergeCell ref="J329:K329"/>
    <mergeCell ref="B330:C330"/>
    <mergeCell ref="D279:F279"/>
    <mergeCell ref="B278:C278"/>
    <mergeCell ref="D278:F278"/>
    <mergeCell ref="J278:K278"/>
    <mergeCell ref="B279:C279"/>
    <mergeCell ref="B294:C294"/>
    <mergeCell ref="B295:C295"/>
    <mergeCell ref="D330:F330"/>
    <mergeCell ref="J330:K330"/>
    <mergeCell ref="B320:H320"/>
    <mergeCell ref="D324:F324"/>
    <mergeCell ref="J324:K324"/>
    <mergeCell ref="D327:F327"/>
    <mergeCell ref="J327:K327"/>
    <mergeCell ref="J312:K312"/>
    <mergeCell ref="B307:C307"/>
    <mergeCell ref="D307:F307"/>
    <mergeCell ref="J307:K307"/>
    <mergeCell ref="B308:C308"/>
    <mergeCell ref="D308:F308"/>
    <mergeCell ref="J308:K308"/>
    <mergeCell ref="B304:M304"/>
    <mergeCell ref="J332:K332"/>
    <mergeCell ref="D333:F333"/>
    <mergeCell ref="B325:C325"/>
    <mergeCell ref="D325:F325"/>
    <mergeCell ref="J325:K325"/>
    <mergeCell ref="B313:C313"/>
    <mergeCell ref="D313:F313"/>
    <mergeCell ref="J313:K313"/>
    <mergeCell ref="B314:C314"/>
    <mergeCell ref="D314:F314"/>
    <mergeCell ref="J314:K314"/>
    <mergeCell ref="B315:C315"/>
    <mergeCell ref="J315:K315"/>
    <mergeCell ref="D328:F328"/>
    <mergeCell ref="D319:F319"/>
    <mergeCell ref="J319:K319"/>
    <mergeCell ref="B321:M321"/>
    <mergeCell ref="B322:C322"/>
    <mergeCell ref="D322:F322"/>
    <mergeCell ref="J322:K322"/>
    <mergeCell ref="B318:C318"/>
    <mergeCell ref="B326:C326"/>
    <mergeCell ref="J317:K317"/>
    <mergeCell ref="J320:M320"/>
    <mergeCell ref="D318:F318"/>
    <mergeCell ref="J318:K318"/>
    <mergeCell ref="B323:C323"/>
    <mergeCell ref="D323:F323"/>
    <mergeCell ref="D331:F331"/>
    <mergeCell ref="J331:K331"/>
    <mergeCell ref="D332:F332"/>
    <mergeCell ref="B332:C332"/>
    <mergeCell ref="J333:K333"/>
    <mergeCell ref="J336:K336"/>
    <mergeCell ref="B342:M342"/>
    <mergeCell ref="D336:F336"/>
    <mergeCell ref="B335:C335"/>
    <mergeCell ref="D335:F335"/>
    <mergeCell ref="J335:K335"/>
    <mergeCell ref="B337:C337"/>
    <mergeCell ref="D337:F337"/>
    <mergeCell ref="J337:K337"/>
    <mergeCell ref="J338:K338"/>
    <mergeCell ref="B339:C339"/>
    <mergeCell ref="D339:F339"/>
    <mergeCell ref="J339:K339"/>
    <mergeCell ref="B338:C338"/>
    <mergeCell ref="D338:F338"/>
    <mergeCell ref="B333:C333"/>
    <mergeCell ref="B336:C336"/>
    <mergeCell ref="B334:C334"/>
    <mergeCell ref="D334:F334"/>
    <mergeCell ref="J334:K334"/>
    <mergeCell ref="B347:C347"/>
    <mergeCell ref="B345:C345"/>
    <mergeCell ref="B343:C343"/>
    <mergeCell ref="D343:F343"/>
    <mergeCell ref="J343:K343"/>
    <mergeCell ref="D354:F354"/>
    <mergeCell ref="J354:K354"/>
    <mergeCell ref="B352:C352"/>
    <mergeCell ref="D352:F352"/>
    <mergeCell ref="J352:K352"/>
    <mergeCell ref="B353:C353"/>
    <mergeCell ref="D340:F340"/>
    <mergeCell ref="J340:K340"/>
    <mergeCell ref="D346:F346"/>
    <mergeCell ref="J346:K346"/>
    <mergeCell ref="B341:H341"/>
    <mergeCell ref="J341:M341"/>
    <mergeCell ref="D353:F353"/>
    <mergeCell ref="J353:K353"/>
    <mergeCell ref="B346:C346"/>
    <mergeCell ref="B344:C344"/>
    <mergeCell ref="D344:F344"/>
    <mergeCell ref="D345:F345"/>
    <mergeCell ref="J345:K345"/>
    <mergeCell ref="B356:M356"/>
    <mergeCell ref="B351:C351"/>
    <mergeCell ref="D351:F351"/>
    <mergeCell ref="J351:K351"/>
    <mergeCell ref="B355:H355"/>
    <mergeCell ref="J355:M355"/>
    <mergeCell ref="B348:C348"/>
    <mergeCell ref="D348:F348"/>
    <mergeCell ref="J348:K348"/>
    <mergeCell ref="B349:C349"/>
    <mergeCell ref="D349:F349"/>
    <mergeCell ref="J349:K349"/>
    <mergeCell ref="B350:C350"/>
    <mergeCell ref="D350:F350"/>
    <mergeCell ref="J350:K350"/>
    <mergeCell ref="B361:C361"/>
    <mergeCell ref="D361:F361"/>
    <mergeCell ref="J361:K361"/>
    <mergeCell ref="B362:C362"/>
    <mergeCell ref="D362:F362"/>
    <mergeCell ref="J362:K362"/>
    <mergeCell ref="B359:C359"/>
    <mergeCell ref="D359:F359"/>
    <mergeCell ref="J359:K359"/>
    <mergeCell ref="B360:C360"/>
    <mergeCell ref="D360:F360"/>
    <mergeCell ref="J360:K360"/>
    <mergeCell ref="B357:C357"/>
    <mergeCell ref="D357:F357"/>
    <mergeCell ref="J357:K357"/>
    <mergeCell ref="B358:C358"/>
    <mergeCell ref="D358:F358"/>
    <mergeCell ref="J358:K358"/>
    <mergeCell ref="D372:F372"/>
    <mergeCell ref="J372:K372"/>
    <mergeCell ref="B378:C378"/>
    <mergeCell ref="D378:F378"/>
    <mergeCell ref="J378:K378"/>
    <mergeCell ref="B379:C379"/>
    <mergeCell ref="D379:F379"/>
    <mergeCell ref="B373:C373"/>
    <mergeCell ref="D373:F373"/>
    <mergeCell ref="J373:K373"/>
    <mergeCell ref="B365:C365"/>
    <mergeCell ref="D365:F365"/>
    <mergeCell ref="J365:K365"/>
    <mergeCell ref="D366:F366"/>
    <mergeCell ref="J366:K366"/>
    <mergeCell ref="B368:M369"/>
    <mergeCell ref="B367:H367"/>
    <mergeCell ref="J367:M367"/>
    <mergeCell ref="B363:C363"/>
    <mergeCell ref="D363:F363"/>
    <mergeCell ref="J363:K363"/>
    <mergeCell ref="B364:C364"/>
    <mergeCell ref="D364:F364"/>
    <mergeCell ref="J364:K364"/>
    <mergeCell ref="B370:C370"/>
    <mergeCell ref="D370:F370"/>
    <mergeCell ref="J370:K370"/>
    <mergeCell ref="B371:C371"/>
    <mergeCell ref="D371:F371"/>
    <mergeCell ref="J371:K371"/>
    <mergeCell ref="B376:C376"/>
    <mergeCell ref="D376:F376"/>
    <mergeCell ref="J376:K376"/>
    <mergeCell ref="B377:C377"/>
    <mergeCell ref="D377:F377"/>
    <mergeCell ref="J377:K377"/>
    <mergeCell ref="B374:C374"/>
    <mergeCell ref="D374:F374"/>
    <mergeCell ref="J374:K374"/>
    <mergeCell ref="B375:C375"/>
    <mergeCell ref="D375:F375"/>
    <mergeCell ref="J375:K375"/>
    <mergeCell ref="B372:C372"/>
    <mergeCell ref="D408:F408"/>
    <mergeCell ref="J408:K408"/>
    <mergeCell ref="B405:C405"/>
    <mergeCell ref="D405:F405"/>
    <mergeCell ref="J405:K405"/>
    <mergeCell ref="B406:C406"/>
    <mergeCell ref="D406:F406"/>
    <mergeCell ref="J406:K406"/>
    <mergeCell ref="B403:C403"/>
    <mergeCell ref="D403:F403"/>
    <mergeCell ref="J403:K403"/>
    <mergeCell ref="B404:C404"/>
    <mergeCell ref="D390:F390"/>
    <mergeCell ref="J390:K390"/>
    <mergeCell ref="B380:C380"/>
    <mergeCell ref="D380:F380"/>
    <mergeCell ref="J380:K380"/>
    <mergeCell ref="D381:F381"/>
    <mergeCell ref="J381:K381"/>
    <mergeCell ref="B386:M386"/>
    <mergeCell ref="B385:H385"/>
    <mergeCell ref="J385:M385"/>
    <mergeCell ref="B401:C401"/>
    <mergeCell ref="B395:C395"/>
    <mergeCell ref="D395:F395"/>
    <mergeCell ref="J379:K379"/>
    <mergeCell ref="B383:M383"/>
    <mergeCell ref="B393:C393"/>
    <mergeCell ref="D393:F393"/>
    <mergeCell ref="J393:K393"/>
    <mergeCell ref="B391:C391"/>
    <mergeCell ref="D391:F391"/>
    <mergeCell ref="J391:K391"/>
    <mergeCell ref="B392:C392"/>
    <mergeCell ref="B423:C423"/>
    <mergeCell ref="D423:F423"/>
    <mergeCell ref="J423:K423"/>
    <mergeCell ref="B424:C424"/>
    <mergeCell ref="D424:F424"/>
    <mergeCell ref="J424:K424"/>
    <mergeCell ref="B421:C421"/>
    <mergeCell ref="D421:F421"/>
    <mergeCell ref="J421:K421"/>
    <mergeCell ref="B422:C422"/>
    <mergeCell ref="D422:F422"/>
    <mergeCell ref="J422:K422"/>
    <mergeCell ref="B419:C419"/>
    <mergeCell ref="D419:F419"/>
    <mergeCell ref="J419:K419"/>
    <mergeCell ref="B420:C420"/>
    <mergeCell ref="D420:F420"/>
    <mergeCell ref="J420:K420"/>
    <mergeCell ref="D410:F410"/>
    <mergeCell ref="B409:C409"/>
    <mergeCell ref="D409:F409"/>
    <mergeCell ref="D434:F434"/>
    <mergeCell ref="J434:K434"/>
    <mergeCell ref="D435:F435"/>
    <mergeCell ref="J435:K435"/>
    <mergeCell ref="D430:F430"/>
    <mergeCell ref="J430:K430"/>
    <mergeCell ref="B432:M432"/>
    <mergeCell ref="B433:C433"/>
    <mergeCell ref="D433:F433"/>
    <mergeCell ref="J433:K433"/>
    <mergeCell ref="B428:C428"/>
    <mergeCell ref="D428:F428"/>
    <mergeCell ref="J428:K428"/>
    <mergeCell ref="B429:C429"/>
    <mergeCell ref="D429:F429"/>
    <mergeCell ref="J429:K429"/>
    <mergeCell ref="B425:C425"/>
    <mergeCell ref="D425:F425"/>
    <mergeCell ref="J425:K425"/>
    <mergeCell ref="B427:C427"/>
    <mergeCell ref="D427:F427"/>
    <mergeCell ref="J427:K427"/>
    <mergeCell ref="B434:C434"/>
    <mergeCell ref="B435:C435"/>
    <mergeCell ref="B431:H431"/>
    <mergeCell ref="J431:M431"/>
    <mergeCell ref="B442:C442"/>
    <mergeCell ref="D442:F442"/>
    <mergeCell ref="J442:K442"/>
    <mergeCell ref="B443:C443"/>
    <mergeCell ref="D443:F443"/>
    <mergeCell ref="J443:K443"/>
    <mergeCell ref="B440:C440"/>
    <mergeCell ref="D440:F440"/>
    <mergeCell ref="J440:K440"/>
    <mergeCell ref="B441:C441"/>
    <mergeCell ref="D441:F441"/>
    <mergeCell ref="J441:K441"/>
    <mergeCell ref="D438:F438"/>
    <mergeCell ref="J438:K438"/>
    <mergeCell ref="D439:F439"/>
    <mergeCell ref="J439:K439"/>
    <mergeCell ref="D436:F436"/>
    <mergeCell ref="J436:K436"/>
    <mergeCell ref="D437:F437"/>
    <mergeCell ref="J437:K437"/>
    <mergeCell ref="B436:C436"/>
    <mergeCell ref="B437:C437"/>
    <mergeCell ref="B438:C438"/>
    <mergeCell ref="B439:C439"/>
    <mergeCell ref="B450:C450"/>
    <mergeCell ref="D450:F450"/>
    <mergeCell ref="J450:K450"/>
    <mergeCell ref="B451:C451"/>
    <mergeCell ref="D451:F451"/>
    <mergeCell ref="J451:K451"/>
    <mergeCell ref="B448:C448"/>
    <mergeCell ref="D448:F448"/>
    <mergeCell ref="J448:K448"/>
    <mergeCell ref="B449:C449"/>
    <mergeCell ref="D449:F449"/>
    <mergeCell ref="J449:K449"/>
    <mergeCell ref="D444:F444"/>
    <mergeCell ref="J444:K444"/>
    <mergeCell ref="B446:M446"/>
    <mergeCell ref="B447:C447"/>
    <mergeCell ref="D447:F447"/>
    <mergeCell ref="J447:K447"/>
    <mergeCell ref="B445:H445"/>
    <mergeCell ref="J445:M445"/>
    <mergeCell ref="J458:K458"/>
    <mergeCell ref="B459:H459"/>
    <mergeCell ref="J459:M459"/>
    <mergeCell ref="B460:M460"/>
    <mergeCell ref="B456:C456"/>
    <mergeCell ref="D456:F456"/>
    <mergeCell ref="J456:K456"/>
    <mergeCell ref="B457:C457"/>
    <mergeCell ref="D457:F457"/>
    <mergeCell ref="J457:K457"/>
    <mergeCell ref="B454:C454"/>
    <mergeCell ref="D454:F454"/>
    <mergeCell ref="J454:K454"/>
    <mergeCell ref="B455:C455"/>
    <mergeCell ref="D455:F455"/>
    <mergeCell ref="J455:K455"/>
    <mergeCell ref="B452:C452"/>
    <mergeCell ref="D452:F452"/>
    <mergeCell ref="J452:K452"/>
    <mergeCell ref="B453:C453"/>
    <mergeCell ref="D453:F453"/>
    <mergeCell ref="J453:K453"/>
    <mergeCell ref="B480:C480"/>
    <mergeCell ref="D480:F480"/>
    <mergeCell ref="J480:K480"/>
    <mergeCell ref="D481:F481"/>
    <mergeCell ref="J481:K481"/>
    <mergeCell ref="B483:M483"/>
    <mergeCell ref="B482:H482"/>
    <mergeCell ref="J482:M482"/>
    <mergeCell ref="B478:C478"/>
    <mergeCell ref="D478:F478"/>
    <mergeCell ref="J478:K478"/>
    <mergeCell ref="B479:C479"/>
    <mergeCell ref="D479:F479"/>
    <mergeCell ref="J479:K479"/>
    <mergeCell ref="B475:C475"/>
    <mergeCell ref="D475:F475"/>
    <mergeCell ref="J475:K475"/>
    <mergeCell ref="B476:C476"/>
    <mergeCell ref="D476:F476"/>
    <mergeCell ref="J476:K476"/>
    <mergeCell ref="B477:C477"/>
    <mergeCell ref="D477:F477"/>
    <mergeCell ref="J477:K477"/>
    <mergeCell ref="D492:F492"/>
    <mergeCell ref="J492:K492"/>
    <mergeCell ref="B494:M494"/>
    <mergeCell ref="B495:C495"/>
    <mergeCell ref="D495:F495"/>
    <mergeCell ref="J495:K495"/>
    <mergeCell ref="B493:H493"/>
    <mergeCell ref="J493:M493"/>
    <mergeCell ref="B490:C490"/>
    <mergeCell ref="D490:F490"/>
    <mergeCell ref="J490:K490"/>
    <mergeCell ref="B491:C491"/>
    <mergeCell ref="D491:F491"/>
    <mergeCell ref="J491:K491"/>
    <mergeCell ref="B484:C484"/>
    <mergeCell ref="D484:F484"/>
    <mergeCell ref="J484:K484"/>
    <mergeCell ref="B485:C485"/>
    <mergeCell ref="D485:F485"/>
    <mergeCell ref="J485:K485"/>
    <mergeCell ref="B486:C486"/>
    <mergeCell ref="B487:C487"/>
    <mergeCell ref="B488:C488"/>
    <mergeCell ref="B489:C489"/>
    <mergeCell ref="D486:F486"/>
    <mergeCell ref="J486:K486"/>
    <mergeCell ref="D487:F487"/>
    <mergeCell ref="J487:K487"/>
    <mergeCell ref="D488:F488"/>
    <mergeCell ref="J488:K488"/>
    <mergeCell ref="D489:F489"/>
    <mergeCell ref="J489:K489"/>
    <mergeCell ref="B500:C500"/>
    <mergeCell ref="D500:F500"/>
    <mergeCell ref="J500:K500"/>
    <mergeCell ref="B501:C501"/>
    <mergeCell ref="D501:F501"/>
    <mergeCell ref="J501:K501"/>
    <mergeCell ref="B498:C498"/>
    <mergeCell ref="D498:F498"/>
    <mergeCell ref="J498:K498"/>
    <mergeCell ref="B499:C499"/>
    <mergeCell ref="D499:F499"/>
    <mergeCell ref="J499:K499"/>
    <mergeCell ref="B496:C496"/>
    <mergeCell ref="D496:F496"/>
    <mergeCell ref="J496:K496"/>
    <mergeCell ref="B497:C497"/>
    <mergeCell ref="D497:F497"/>
    <mergeCell ref="J497:K497"/>
    <mergeCell ref="B510:C510"/>
    <mergeCell ref="D510:F510"/>
    <mergeCell ref="J510:K510"/>
    <mergeCell ref="B511:C511"/>
    <mergeCell ref="D511:F511"/>
    <mergeCell ref="J511:K511"/>
    <mergeCell ref="B507:H507"/>
    <mergeCell ref="J507:M507"/>
    <mergeCell ref="B508:M508"/>
    <mergeCell ref="B509:C509"/>
    <mergeCell ref="D509:F509"/>
    <mergeCell ref="J509:K509"/>
    <mergeCell ref="B502:C502"/>
    <mergeCell ref="D502:F502"/>
    <mergeCell ref="J502:K502"/>
    <mergeCell ref="D503:F503"/>
    <mergeCell ref="J503:K503"/>
    <mergeCell ref="B505:M505"/>
    <mergeCell ref="J520:M520"/>
    <mergeCell ref="B514:C514"/>
    <mergeCell ref="D514:F514"/>
    <mergeCell ref="J514:K514"/>
    <mergeCell ref="B515:C515"/>
    <mergeCell ref="D515:F515"/>
    <mergeCell ref="J515:K515"/>
    <mergeCell ref="B512:C512"/>
    <mergeCell ref="D512:F512"/>
    <mergeCell ref="J512:K512"/>
    <mergeCell ref="B513:C513"/>
    <mergeCell ref="D513:F513"/>
    <mergeCell ref="J513:K513"/>
    <mergeCell ref="B518:M518"/>
    <mergeCell ref="D530:F530"/>
    <mergeCell ref="J530:K530"/>
    <mergeCell ref="D528:F528"/>
    <mergeCell ref="J528:K528"/>
    <mergeCell ref="D527:F527"/>
    <mergeCell ref="J527:K527"/>
    <mergeCell ref="D526:F526"/>
    <mergeCell ref="J526:K526"/>
    <mergeCell ref="D525:F525"/>
    <mergeCell ref="J525:K525"/>
    <mergeCell ref="B524:C524"/>
    <mergeCell ref="D524:F524"/>
    <mergeCell ref="J524:K524"/>
    <mergeCell ref="B523:C523"/>
    <mergeCell ref="D523:F523"/>
    <mergeCell ref="J523:K523"/>
    <mergeCell ref="B522:C522"/>
    <mergeCell ref="D522:F522"/>
    <mergeCell ref="J522:K522"/>
    <mergeCell ref="B528:C528"/>
    <mergeCell ref="B530:C530"/>
    <mergeCell ref="B529:C529"/>
    <mergeCell ref="D529:F529"/>
    <mergeCell ref="J529:K529"/>
    <mergeCell ref="D536:F536"/>
    <mergeCell ref="J536:K536"/>
    <mergeCell ref="D537:F537"/>
    <mergeCell ref="J537:K537"/>
    <mergeCell ref="B535:C535"/>
    <mergeCell ref="D535:F535"/>
    <mergeCell ref="J535:K535"/>
    <mergeCell ref="B536:C536"/>
    <mergeCell ref="B539:H539"/>
    <mergeCell ref="J539:M539"/>
    <mergeCell ref="D533:F533"/>
    <mergeCell ref="J533:K533"/>
    <mergeCell ref="D534:F534"/>
    <mergeCell ref="J534:K534"/>
    <mergeCell ref="D532:F532"/>
    <mergeCell ref="J532:K532"/>
    <mergeCell ref="D531:F531"/>
    <mergeCell ref="J531:K531"/>
    <mergeCell ref="B533:C533"/>
    <mergeCell ref="B531:C531"/>
    <mergeCell ref="B532:C532"/>
    <mergeCell ref="B534:C534"/>
    <mergeCell ref="M543:N543"/>
    <mergeCell ref="O543:P543"/>
    <mergeCell ref="D538:F538"/>
    <mergeCell ref="J538:K538"/>
    <mergeCell ref="B538:C538"/>
    <mergeCell ref="B537:C537"/>
    <mergeCell ref="Q543:S543"/>
    <mergeCell ref="T543:V543"/>
    <mergeCell ref="C542:H543"/>
    <mergeCell ref="C544:H544"/>
    <mergeCell ref="B540:AA540"/>
    <mergeCell ref="W547:Y547"/>
    <mergeCell ref="Z547:AA547"/>
    <mergeCell ref="I548:J548"/>
    <mergeCell ref="K548:L548"/>
    <mergeCell ref="M548:N548"/>
    <mergeCell ref="O548:P548"/>
    <mergeCell ref="Q548:S548"/>
    <mergeCell ref="T548:V548"/>
    <mergeCell ref="W548:Y548"/>
    <mergeCell ref="Z548:AA548"/>
    <mergeCell ref="Q546:S546"/>
    <mergeCell ref="T546:V546"/>
    <mergeCell ref="W546:Y546"/>
    <mergeCell ref="Z546:AA546"/>
    <mergeCell ref="I547:J547"/>
    <mergeCell ref="K547:L547"/>
    <mergeCell ref="M547:N547"/>
    <mergeCell ref="O547:P547"/>
    <mergeCell ref="Q547:S547"/>
    <mergeCell ref="T547:V547"/>
    <mergeCell ref="I545:J545"/>
    <mergeCell ref="K545:L545"/>
    <mergeCell ref="I546:J546"/>
    <mergeCell ref="K546:L546"/>
    <mergeCell ref="M546:N546"/>
    <mergeCell ref="O546:P546"/>
    <mergeCell ref="W543:Y543"/>
    <mergeCell ref="Z543:AA543"/>
    <mergeCell ref="I544:J544"/>
    <mergeCell ref="K544:L544"/>
    <mergeCell ref="W551:Y551"/>
    <mergeCell ref="Z551:AA551"/>
    <mergeCell ref="I552:J552"/>
    <mergeCell ref="K552:L552"/>
    <mergeCell ref="M552:N552"/>
    <mergeCell ref="O552:P552"/>
    <mergeCell ref="Q552:S552"/>
    <mergeCell ref="T552:V552"/>
    <mergeCell ref="W552:Y552"/>
    <mergeCell ref="Z552:AA552"/>
    <mergeCell ref="I551:J551"/>
    <mergeCell ref="K551:L551"/>
    <mergeCell ref="M551:N551"/>
    <mergeCell ref="O551:P551"/>
    <mergeCell ref="Q551:S551"/>
    <mergeCell ref="T551:V551"/>
    <mergeCell ref="W549:Y549"/>
    <mergeCell ref="Z549:AA549"/>
    <mergeCell ref="I550:J550"/>
    <mergeCell ref="K550:L550"/>
    <mergeCell ref="M550:N550"/>
    <mergeCell ref="O550:P550"/>
    <mergeCell ref="Q550:S550"/>
    <mergeCell ref="T550:V550"/>
    <mergeCell ref="W550:Y550"/>
    <mergeCell ref="Z550:AA550"/>
    <mergeCell ref="I549:J549"/>
    <mergeCell ref="K549:L549"/>
    <mergeCell ref="M549:N549"/>
    <mergeCell ref="O549:P549"/>
    <mergeCell ref="Q549:S549"/>
    <mergeCell ref="T549:V549"/>
    <mergeCell ref="I555:J555"/>
    <mergeCell ref="I556:J556"/>
    <mergeCell ref="I558:J558"/>
    <mergeCell ref="K558:L558"/>
    <mergeCell ref="M558:N558"/>
    <mergeCell ref="O558:P558"/>
    <mergeCell ref="W553:Y553"/>
    <mergeCell ref="Z553:AA553"/>
    <mergeCell ref="I554:J554"/>
    <mergeCell ref="K554:L554"/>
    <mergeCell ref="M554:N554"/>
    <mergeCell ref="O554:P554"/>
    <mergeCell ref="Q554:S554"/>
    <mergeCell ref="T554:V554"/>
    <mergeCell ref="W554:Y554"/>
    <mergeCell ref="Z554:AA554"/>
    <mergeCell ref="I553:J553"/>
    <mergeCell ref="K553:L553"/>
    <mergeCell ref="M553:N553"/>
    <mergeCell ref="O553:P553"/>
    <mergeCell ref="Q553:S553"/>
    <mergeCell ref="T553:V553"/>
    <mergeCell ref="W559:Y559"/>
    <mergeCell ref="Z559:AA559"/>
    <mergeCell ref="I560:J560"/>
    <mergeCell ref="K560:L560"/>
    <mergeCell ref="M560:N560"/>
    <mergeCell ref="O560:P560"/>
    <mergeCell ref="Q560:S560"/>
    <mergeCell ref="T560:V560"/>
    <mergeCell ref="W560:Y560"/>
    <mergeCell ref="Z560:AA560"/>
    <mergeCell ref="Q558:S558"/>
    <mergeCell ref="T558:V558"/>
    <mergeCell ref="W558:Y558"/>
    <mergeCell ref="Z558:AA558"/>
    <mergeCell ref="I559:J559"/>
    <mergeCell ref="K559:L559"/>
    <mergeCell ref="M559:N559"/>
    <mergeCell ref="O559:P559"/>
    <mergeCell ref="Q559:S559"/>
    <mergeCell ref="T559:V559"/>
    <mergeCell ref="W563:Y563"/>
    <mergeCell ref="Z563:AA563"/>
    <mergeCell ref="I563:J563"/>
    <mergeCell ref="K563:L563"/>
    <mergeCell ref="M563:N563"/>
    <mergeCell ref="O563:P563"/>
    <mergeCell ref="Q563:S563"/>
    <mergeCell ref="T563:V563"/>
    <mergeCell ref="W561:Y561"/>
    <mergeCell ref="Z561:AA561"/>
    <mergeCell ref="I562:J562"/>
    <mergeCell ref="K562:L562"/>
    <mergeCell ref="M562:N562"/>
    <mergeCell ref="O562:P562"/>
    <mergeCell ref="Q562:S562"/>
    <mergeCell ref="T562:V562"/>
    <mergeCell ref="W562:Y562"/>
    <mergeCell ref="Z562:AA562"/>
    <mergeCell ref="I561:J561"/>
    <mergeCell ref="K561:L561"/>
    <mergeCell ref="M561:N561"/>
    <mergeCell ref="O561:P561"/>
    <mergeCell ref="Q561:S561"/>
    <mergeCell ref="T561:V561"/>
    <mergeCell ref="I573:J573"/>
    <mergeCell ref="M573:N573"/>
    <mergeCell ref="I574:J574"/>
    <mergeCell ref="K574:L574"/>
    <mergeCell ref="M574:N574"/>
    <mergeCell ref="O574:P574"/>
    <mergeCell ref="I571:J571"/>
    <mergeCell ref="K571:L571"/>
    <mergeCell ref="M571:N571"/>
    <mergeCell ref="O571:P571"/>
    <mergeCell ref="Q571:S571"/>
    <mergeCell ref="T571:V571"/>
    <mergeCell ref="W571:Y571"/>
    <mergeCell ref="Z571:AA571"/>
    <mergeCell ref="W575:Y575"/>
    <mergeCell ref="Z575:AA575"/>
    <mergeCell ref="I576:J576"/>
    <mergeCell ref="K576:L576"/>
    <mergeCell ref="M576:N576"/>
    <mergeCell ref="O576:P576"/>
    <mergeCell ref="Q576:S576"/>
    <mergeCell ref="T576:V576"/>
    <mergeCell ref="Q574:S574"/>
    <mergeCell ref="T574:V574"/>
    <mergeCell ref="W574:Y574"/>
    <mergeCell ref="Z574:AA574"/>
    <mergeCell ref="I575:J575"/>
    <mergeCell ref="K575:L575"/>
    <mergeCell ref="M575:N575"/>
    <mergeCell ref="O575:P575"/>
    <mergeCell ref="Q575:S575"/>
    <mergeCell ref="T575:V575"/>
    <mergeCell ref="W579:Y579"/>
    <mergeCell ref="Z579:AA579"/>
    <mergeCell ref="I580:J580"/>
    <mergeCell ref="K580:L580"/>
    <mergeCell ref="M580:N580"/>
    <mergeCell ref="O580:P580"/>
    <mergeCell ref="Q580:S580"/>
    <mergeCell ref="T580:V580"/>
    <mergeCell ref="W580:Y580"/>
    <mergeCell ref="Z580:AA580"/>
    <mergeCell ref="I579:J579"/>
    <mergeCell ref="K579:L579"/>
    <mergeCell ref="M579:N579"/>
    <mergeCell ref="O579:P579"/>
    <mergeCell ref="Q579:S579"/>
    <mergeCell ref="T579:V579"/>
    <mergeCell ref="W577:Y577"/>
    <mergeCell ref="Z577:AA577"/>
    <mergeCell ref="I578:J578"/>
    <mergeCell ref="K578:L578"/>
    <mergeCell ref="M578:N578"/>
    <mergeCell ref="O578:P578"/>
    <mergeCell ref="Q578:S578"/>
    <mergeCell ref="T578:V578"/>
    <mergeCell ref="W578:Y578"/>
    <mergeCell ref="Z578:AA578"/>
    <mergeCell ref="I577:J577"/>
    <mergeCell ref="K577:L577"/>
    <mergeCell ref="M577:N577"/>
    <mergeCell ref="O577:P577"/>
    <mergeCell ref="Q577:S577"/>
    <mergeCell ref="T577:V577"/>
    <mergeCell ref="Q587:S587"/>
    <mergeCell ref="T587:V587"/>
    <mergeCell ref="W587:Y587"/>
    <mergeCell ref="Z587:AA587"/>
    <mergeCell ref="I588:J588"/>
    <mergeCell ref="K588:L588"/>
    <mergeCell ref="O588:P588"/>
    <mergeCell ref="Q588:S588"/>
    <mergeCell ref="T588:V588"/>
    <mergeCell ref="W588:Y588"/>
    <mergeCell ref="I581:J581"/>
    <mergeCell ref="B584:AA584"/>
    <mergeCell ref="B585:AA585"/>
    <mergeCell ref="B586:B587"/>
    <mergeCell ref="I586:P586"/>
    <mergeCell ref="Q586:AA586"/>
    <mergeCell ref="I587:J587"/>
    <mergeCell ref="K587:L587"/>
    <mergeCell ref="M587:N587"/>
    <mergeCell ref="O587:P587"/>
    <mergeCell ref="C586:H587"/>
    <mergeCell ref="C588:H588"/>
    <mergeCell ref="Z590:AA590"/>
    <mergeCell ref="I591:J591"/>
    <mergeCell ref="K591:L591"/>
    <mergeCell ref="M591:N591"/>
    <mergeCell ref="O591:P591"/>
    <mergeCell ref="Q591:S591"/>
    <mergeCell ref="T591:V591"/>
    <mergeCell ref="W591:Y591"/>
    <mergeCell ref="Z591:AA591"/>
    <mergeCell ref="Z588:AA588"/>
    <mergeCell ref="I589:J589"/>
    <mergeCell ref="K589:L589"/>
    <mergeCell ref="I590:J590"/>
    <mergeCell ref="K590:L590"/>
    <mergeCell ref="M590:N590"/>
    <mergeCell ref="O590:P590"/>
    <mergeCell ref="Q590:S590"/>
    <mergeCell ref="T590:V590"/>
    <mergeCell ref="W590:Y590"/>
    <mergeCell ref="W594:Y594"/>
    <mergeCell ref="Z594:AA594"/>
    <mergeCell ref="I595:J595"/>
    <mergeCell ref="K595:L595"/>
    <mergeCell ref="M595:N595"/>
    <mergeCell ref="O595:P595"/>
    <mergeCell ref="Q595:S595"/>
    <mergeCell ref="T595:V595"/>
    <mergeCell ref="W595:Y595"/>
    <mergeCell ref="Z595:AA595"/>
    <mergeCell ref="I594:J594"/>
    <mergeCell ref="K594:L594"/>
    <mergeCell ref="M594:N594"/>
    <mergeCell ref="O594:P594"/>
    <mergeCell ref="Q594:S594"/>
    <mergeCell ref="T594:V594"/>
    <mergeCell ref="W592:Y592"/>
    <mergeCell ref="Z592:AA592"/>
    <mergeCell ref="I593:J593"/>
    <mergeCell ref="K593:L593"/>
    <mergeCell ref="M593:N593"/>
    <mergeCell ref="O593:P593"/>
    <mergeCell ref="Q593:S593"/>
    <mergeCell ref="T593:V593"/>
    <mergeCell ref="W593:Y593"/>
    <mergeCell ref="Z593:AA593"/>
    <mergeCell ref="I592:J592"/>
    <mergeCell ref="K592:L592"/>
    <mergeCell ref="M592:N592"/>
    <mergeCell ref="O592:P592"/>
    <mergeCell ref="Q592:S592"/>
    <mergeCell ref="T592:V592"/>
    <mergeCell ref="W598:Y598"/>
    <mergeCell ref="Z598:AA598"/>
    <mergeCell ref="I599:J599"/>
    <mergeCell ref="I600:J600"/>
    <mergeCell ref="I601:J601"/>
    <mergeCell ref="K601:L601"/>
    <mergeCell ref="M601:N601"/>
    <mergeCell ref="O601:P601"/>
    <mergeCell ref="Q601:S601"/>
    <mergeCell ref="T601:V601"/>
    <mergeCell ref="I598:J598"/>
    <mergeCell ref="K598:L598"/>
    <mergeCell ref="M598:N598"/>
    <mergeCell ref="O598:P598"/>
    <mergeCell ref="Q598:S598"/>
    <mergeCell ref="T598:V598"/>
    <mergeCell ref="W596:Y596"/>
    <mergeCell ref="Z596:AA596"/>
    <mergeCell ref="I597:J597"/>
    <mergeCell ref="K597:L597"/>
    <mergeCell ref="M597:N597"/>
    <mergeCell ref="O597:P597"/>
    <mergeCell ref="Q597:S597"/>
    <mergeCell ref="T597:V597"/>
    <mergeCell ref="W597:Y597"/>
    <mergeCell ref="Z597:AA597"/>
    <mergeCell ref="I596:J596"/>
    <mergeCell ref="K596:L596"/>
    <mergeCell ref="M596:N596"/>
    <mergeCell ref="O596:P596"/>
    <mergeCell ref="Q596:S596"/>
    <mergeCell ref="T596:V596"/>
    <mergeCell ref="W603:Y603"/>
    <mergeCell ref="Z603:AA603"/>
    <mergeCell ref="I604:J604"/>
    <mergeCell ref="K604:L604"/>
    <mergeCell ref="M604:N604"/>
    <mergeCell ref="O604:P604"/>
    <mergeCell ref="Q604:S604"/>
    <mergeCell ref="T604:V604"/>
    <mergeCell ref="W604:Y604"/>
    <mergeCell ref="Z604:AA604"/>
    <mergeCell ref="I603:J603"/>
    <mergeCell ref="K603:L603"/>
    <mergeCell ref="M603:N603"/>
    <mergeCell ref="O603:P603"/>
    <mergeCell ref="Q603:S603"/>
    <mergeCell ref="T603:V603"/>
    <mergeCell ref="W601:Y601"/>
    <mergeCell ref="Z601:AA601"/>
    <mergeCell ref="I602:J602"/>
    <mergeCell ref="K602:L602"/>
    <mergeCell ref="M602:N602"/>
    <mergeCell ref="O602:P602"/>
    <mergeCell ref="Q602:S602"/>
    <mergeCell ref="T602:V602"/>
    <mergeCell ref="W602:Y602"/>
    <mergeCell ref="Z602:AA602"/>
    <mergeCell ref="W607:Y607"/>
    <mergeCell ref="Z607:AA607"/>
    <mergeCell ref="I607:J607"/>
    <mergeCell ref="K607:L607"/>
    <mergeCell ref="M607:N607"/>
    <mergeCell ref="O607:P607"/>
    <mergeCell ref="Q607:S607"/>
    <mergeCell ref="T607:V607"/>
    <mergeCell ref="W605:Y605"/>
    <mergeCell ref="Z605:AA605"/>
    <mergeCell ref="I606:J606"/>
    <mergeCell ref="K606:L606"/>
    <mergeCell ref="M606:N606"/>
    <mergeCell ref="O606:P606"/>
    <mergeCell ref="Q606:S606"/>
    <mergeCell ref="T606:V606"/>
    <mergeCell ref="W606:Y606"/>
    <mergeCell ref="Z606:AA606"/>
    <mergeCell ref="I605:J605"/>
    <mergeCell ref="K605:L605"/>
    <mergeCell ref="M605:N605"/>
    <mergeCell ref="O605:P605"/>
    <mergeCell ref="Q605:S605"/>
    <mergeCell ref="T605:V605"/>
    <mergeCell ref="W611:Y611"/>
    <mergeCell ref="Z611:AA611"/>
    <mergeCell ref="I612:J612"/>
    <mergeCell ref="K612:L612"/>
    <mergeCell ref="M612:N612"/>
    <mergeCell ref="O612:P612"/>
    <mergeCell ref="Q612:S612"/>
    <mergeCell ref="T612:V612"/>
    <mergeCell ref="W612:Y612"/>
    <mergeCell ref="Z612:AA612"/>
    <mergeCell ref="W608:Y608"/>
    <mergeCell ref="Z608:AA608"/>
    <mergeCell ref="I610:J610"/>
    <mergeCell ref="M610:N610"/>
    <mergeCell ref="I611:J611"/>
    <mergeCell ref="K611:L611"/>
    <mergeCell ref="M611:N611"/>
    <mergeCell ref="O611:P611"/>
    <mergeCell ref="Q611:S611"/>
    <mergeCell ref="T611:V611"/>
    <mergeCell ref="I608:J608"/>
    <mergeCell ref="K608:L608"/>
    <mergeCell ref="M608:N608"/>
    <mergeCell ref="O608:P608"/>
    <mergeCell ref="Q608:S608"/>
    <mergeCell ref="T608:V608"/>
    <mergeCell ref="W614:Y614"/>
    <mergeCell ref="Z614:AA614"/>
    <mergeCell ref="I615:J615"/>
    <mergeCell ref="K615:L615"/>
    <mergeCell ref="M615:N615"/>
    <mergeCell ref="O615:P615"/>
    <mergeCell ref="Q615:S615"/>
    <mergeCell ref="T615:V615"/>
    <mergeCell ref="W615:Y615"/>
    <mergeCell ref="Z615:AA615"/>
    <mergeCell ref="I614:J614"/>
    <mergeCell ref="K614:L614"/>
    <mergeCell ref="M614:N614"/>
    <mergeCell ref="O614:P614"/>
    <mergeCell ref="Q614:S614"/>
    <mergeCell ref="T614:V614"/>
    <mergeCell ref="I613:J613"/>
    <mergeCell ref="K613:L613"/>
    <mergeCell ref="M613:N613"/>
    <mergeCell ref="O613:P613"/>
    <mergeCell ref="Q613:S613"/>
    <mergeCell ref="T613:V613"/>
    <mergeCell ref="B621:AA621"/>
    <mergeCell ref="G622:H622"/>
    <mergeCell ref="I622:J622"/>
    <mergeCell ref="K622:L622"/>
    <mergeCell ref="M622:O622"/>
    <mergeCell ref="P622:R622"/>
    <mergeCell ref="S622:U622"/>
    <mergeCell ref="V622:X622"/>
    <mergeCell ref="W616:Y616"/>
    <mergeCell ref="Z616:AA616"/>
    <mergeCell ref="I617:J617"/>
    <mergeCell ref="K617:L617"/>
    <mergeCell ref="M617:N617"/>
    <mergeCell ref="O617:P617"/>
    <mergeCell ref="Q617:S617"/>
    <mergeCell ref="T617:V617"/>
    <mergeCell ref="W617:Y617"/>
    <mergeCell ref="Z617:AA617"/>
    <mergeCell ref="I616:J616"/>
    <mergeCell ref="K616:L616"/>
    <mergeCell ref="M616:N616"/>
    <mergeCell ref="O616:P616"/>
    <mergeCell ref="Q616:S616"/>
    <mergeCell ref="T616:V616"/>
    <mergeCell ref="S625:U625"/>
    <mergeCell ref="V625:X625"/>
    <mergeCell ref="Y625:AA625"/>
    <mergeCell ref="G626:H626"/>
    <mergeCell ref="I626:J626"/>
    <mergeCell ref="K626:L626"/>
    <mergeCell ref="M626:O626"/>
    <mergeCell ref="P626:R626"/>
    <mergeCell ref="S626:U626"/>
    <mergeCell ref="V626:X626"/>
    <mergeCell ref="B625:F625"/>
    <mergeCell ref="G625:H625"/>
    <mergeCell ref="I625:J625"/>
    <mergeCell ref="K625:L625"/>
    <mergeCell ref="M625:O625"/>
    <mergeCell ref="P625:R625"/>
    <mergeCell ref="Y622:AA622"/>
    <mergeCell ref="G623:H623"/>
    <mergeCell ref="I623:J623"/>
    <mergeCell ref="K623:L623"/>
    <mergeCell ref="M623:O623"/>
    <mergeCell ref="P623:R623"/>
    <mergeCell ref="S623:U623"/>
    <mergeCell ref="V623:X623"/>
    <mergeCell ref="Y623:AA623"/>
    <mergeCell ref="B623:F623"/>
    <mergeCell ref="V628:X628"/>
    <mergeCell ref="Y628:AA628"/>
    <mergeCell ref="G629:H629"/>
    <mergeCell ref="I629:J629"/>
    <mergeCell ref="K629:L629"/>
    <mergeCell ref="M629:O629"/>
    <mergeCell ref="P629:R629"/>
    <mergeCell ref="S629:U629"/>
    <mergeCell ref="V629:X629"/>
    <mergeCell ref="Y629:AA629"/>
    <mergeCell ref="G628:H628"/>
    <mergeCell ref="I628:J628"/>
    <mergeCell ref="K628:L628"/>
    <mergeCell ref="M628:O628"/>
    <mergeCell ref="P628:R628"/>
    <mergeCell ref="S628:U628"/>
    <mergeCell ref="Y626:AA626"/>
    <mergeCell ref="G627:H627"/>
    <mergeCell ref="I627:J627"/>
    <mergeCell ref="K627:L627"/>
    <mergeCell ref="M627:O627"/>
    <mergeCell ref="P627:R627"/>
    <mergeCell ref="S627:U627"/>
    <mergeCell ref="V627:X627"/>
    <mergeCell ref="Y627:AA627"/>
    <mergeCell ref="V632:X632"/>
    <mergeCell ref="Y632:AA632"/>
    <mergeCell ref="G634:H634"/>
    <mergeCell ref="I634:J634"/>
    <mergeCell ref="K634:L634"/>
    <mergeCell ref="M634:O634"/>
    <mergeCell ref="P634:R634"/>
    <mergeCell ref="S634:U634"/>
    <mergeCell ref="V634:X634"/>
    <mergeCell ref="Y634:AA634"/>
    <mergeCell ref="G632:H632"/>
    <mergeCell ref="I632:J632"/>
    <mergeCell ref="K632:L632"/>
    <mergeCell ref="M632:O632"/>
    <mergeCell ref="P632:R632"/>
    <mergeCell ref="S632:U632"/>
    <mergeCell ref="V630:X630"/>
    <mergeCell ref="Y630:AA630"/>
    <mergeCell ref="G631:H631"/>
    <mergeCell ref="I631:J631"/>
    <mergeCell ref="K631:L631"/>
    <mergeCell ref="M631:O631"/>
    <mergeCell ref="P631:R631"/>
    <mergeCell ref="S631:U631"/>
    <mergeCell ref="V631:X631"/>
    <mergeCell ref="Y631:AA631"/>
    <mergeCell ref="G630:H630"/>
    <mergeCell ref="I630:J630"/>
    <mergeCell ref="K630:L630"/>
    <mergeCell ref="M630:O630"/>
    <mergeCell ref="P630:R630"/>
    <mergeCell ref="S630:U630"/>
    <mergeCell ref="V637:X637"/>
    <mergeCell ref="Y637:AA637"/>
    <mergeCell ref="G638:H638"/>
    <mergeCell ref="I638:J638"/>
    <mergeCell ref="K638:L638"/>
    <mergeCell ref="M638:O638"/>
    <mergeCell ref="P638:R638"/>
    <mergeCell ref="S638:U638"/>
    <mergeCell ref="V638:X638"/>
    <mergeCell ref="Y638:AA638"/>
    <mergeCell ref="G637:H637"/>
    <mergeCell ref="I637:J637"/>
    <mergeCell ref="K637:L637"/>
    <mergeCell ref="M637:O637"/>
    <mergeCell ref="P637:R637"/>
    <mergeCell ref="S637:U637"/>
    <mergeCell ref="V635:X635"/>
    <mergeCell ref="Y635:AA635"/>
    <mergeCell ref="G636:H636"/>
    <mergeCell ref="I636:J636"/>
    <mergeCell ref="K636:L636"/>
    <mergeCell ref="M636:O636"/>
    <mergeCell ref="P636:R636"/>
    <mergeCell ref="S636:U636"/>
    <mergeCell ref="V636:X636"/>
    <mergeCell ref="Y636:AA636"/>
    <mergeCell ref="G635:H635"/>
    <mergeCell ref="I635:J635"/>
    <mergeCell ref="K635:L635"/>
    <mergeCell ref="M635:O635"/>
    <mergeCell ref="P635:R635"/>
    <mergeCell ref="S635:U635"/>
    <mergeCell ref="N647:O647"/>
    <mergeCell ref="I648:J648"/>
    <mergeCell ref="K648:L648"/>
    <mergeCell ref="N648:O648"/>
    <mergeCell ref="V641:X641"/>
    <mergeCell ref="Y641:AA641"/>
    <mergeCell ref="I646:L646"/>
    <mergeCell ref="M646:O646"/>
    <mergeCell ref="G641:H641"/>
    <mergeCell ref="I641:J641"/>
    <mergeCell ref="K641:L641"/>
    <mergeCell ref="M641:O641"/>
    <mergeCell ref="P641:R641"/>
    <mergeCell ref="S641:U641"/>
    <mergeCell ref="B646:H647"/>
    <mergeCell ref="V639:X639"/>
    <mergeCell ref="Y639:AA639"/>
    <mergeCell ref="G640:H640"/>
    <mergeCell ref="I640:J640"/>
    <mergeCell ref="K640:L640"/>
    <mergeCell ref="M640:O640"/>
    <mergeCell ref="P640:R640"/>
    <mergeCell ref="S640:U640"/>
    <mergeCell ref="V640:X640"/>
    <mergeCell ref="Y640:AA640"/>
    <mergeCell ref="G639:H639"/>
    <mergeCell ref="I639:J639"/>
    <mergeCell ref="K639:L639"/>
    <mergeCell ref="M639:O639"/>
    <mergeCell ref="P639:R639"/>
    <mergeCell ref="S639:U639"/>
    <mergeCell ref="B644:O644"/>
    <mergeCell ref="N657:O657"/>
    <mergeCell ref="I658:J658"/>
    <mergeCell ref="K658:L658"/>
    <mergeCell ref="N658:O658"/>
    <mergeCell ref="I655:J655"/>
    <mergeCell ref="K655:L655"/>
    <mergeCell ref="N655:O655"/>
    <mergeCell ref="I656:J656"/>
    <mergeCell ref="K656:L656"/>
    <mergeCell ref="N656:O656"/>
    <mergeCell ref="I653:J653"/>
    <mergeCell ref="K653:L653"/>
    <mergeCell ref="N653:O653"/>
    <mergeCell ref="I654:J654"/>
    <mergeCell ref="K654:L654"/>
    <mergeCell ref="N654:O654"/>
    <mergeCell ref="I651:J651"/>
    <mergeCell ref="K651:L651"/>
    <mergeCell ref="N651:O651"/>
    <mergeCell ref="I652:J652"/>
    <mergeCell ref="K652:L652"/>
    <mergeCell ref="N652:O652"/>
    <mergeCell ref="N659:O659"/>
    <mergeCell ref="I660:J660"/>
    <mergeCell ref="K660:L660"/>
    <mergeCell ref="I661:J661"/>
    <mergeCell ref="K661:L661"/>
    <mergeCell ref="N661:O661"/>
    <mergeCell ref="C685:H685"/>
    <mergeCell ref="C698:H698"/>
    <mergeCell ref="I698:J698"/>
    <mergeCell ref="K698:L698"/>
    <mergeCell ref="N698:O698"/>
    <mergeCell ref="I685:J685"/>
    <mergeCell ref="K685:L685"/>
    <mergeCell ref="I675:J675"/>
    <mergeCell ref="K675:L675"/>
    <mergeCell ref="N675:O675"/>
    <mergeCell ref="I676:J676"/>
    <mergeCell ref="K676:L676"/>
    <mergeCell ref="N676:O676"/>
    <mergeCell ref="K681:L681"/>
    <mergeCell ref="N681:O681"/>
    <mergeCell ref="I683:J683"/>
    <mergeCell ref="N688:O688"/>
    <mergeCell ref="I691:J691"/>
    <mergeCell ref="K691:L691"/>
    <mergeCell ref="N691:O691"/>
    <mergeCell ref="K689:L689"/>
    <mergeCell ref="K690:L690"/>
    <mergeCell ref="N689:O689"/>
    <mergeCell ref="K683:L683"/>
    <mergeCell ref="I684:J684"/>
    <mergeCell ref="K684:L684"/>
    <mergeCell ref="N684:O684"/>
    <mergeCell ref="I686:J686"/>
    <mergeCell ref="K686:L686"/>
    <mergeCell ref="N686:O686"/>
    <mergeCell ref="I680:J680"/>
    <mergeCell ref="K680:L680"/>
    <mergeCell ref="N680:O680"/>
    <mergeCell ref="Z236:AB236"/>
    <mergeCell ref="B267:C267"/>
    <mergeCell ref="D267:F267"/>
    <mergeCell ref="J267:K267"/>
    <mergeCell ref="B271:C271"/>
    <mergeCell ref="K670:L670"/>
    <mergeCell ref="I669:J669"/>
    <mergeCell ref="K669:L669"/>
    <mergeCell ref="C667:H667"/>
    <mergeCell ref="C668:H668"/>
    <mergeCell ref="C669:H669"/>
    <mergeCell ref="C670:H670"/>
    <mergeCell ref="N669:O669"/>
    <mergeCell ref="I667:J667"/>
    <mergeCell ref="K667:L667"/>
    <mergeCell ref="N667:O667"/>
    <mergeCell ref="I668:J668"/>
    <mergeCell ref="K668:L668"/>
    <mergeCell ref="P237:V237"/>
    <mergeCell ref="I664:J664"/>
    <mergeCell ref="N664:O664"/>
    <mergeCell ref="I666:J666"/>
    <mergeCell ref="K666:L666"/>
    <mergeCell ref="Z237:AB237"/>
    <mergeCell ref="I662:J662"/>
    <mergeCell ref="K662:L662"/>
    <mergeCell ref="N662:O662"/>
    <mergeCell ref="I663:J663"/>
    <mergeCell ref="K663:L663"/>
    <mergeCell ref="N663:O663"/>
    <mergeCell ref="I659:J659"/>
    <mergeCell ref="K659:L659"/>
    <mergeCell ref="AM138:AS138"/>
    <mergeCell ref="AM139:AS139"/>
    <mergeCell ref="AM140:AS140"/>
    <mergeCell ref="AM141:AS141"/>
    <mergeCell ref="P137:V137"/>
    <mergeCell ref="W137:Y137"/>
    <mergeCell ref="Z137:AB137"/>
    <mergeCell ref="P138:V138"/>
    <mergeCell ref="W138:Y138"/>
    <mergeCell ref="Z138:AB138"/>
    <mergeCell ref="P139:V139"/>
    <mergeCell ref="W139:Y139"/>
    <mergeCell ref="Z139:AB139"/>
    <mergeCell ref="P140:V140"/>
    <mergeCell ref="W140:Y140"/>
    <mergeCell ref="Z140:AB140"/>
    <mergeCell ref="Z141:AB141"/>
    <mergeCell ref="P141:V141"/>
    <mergeCell ref="Z231:AB231"/>
    <mergeCell ref="W234:Y234"/>
    <mergeCell ref="W148:Y148"/>
    <mergeCell ref="P223:AB223"/>
    <mergeCell ref="Z226:AB226"/>
    <mergeCell ref="J218:K218"/>
    <mergeCell ref="Z224:AB224"/>
    <mergeCell ref="N666:O666"/>
    <mergeCell ref="C16:J16"/>
    <mergeCell ref="C17:J17"/>
    <mergeCell ref="C19:J19"/>
    <mergeCell ref="L21:AB21"/>
    <mergeCell ref="L22:AB22"/>
    <mergeCell ref="K33:L33"/>
    <mergeCell ref="B69:H69"/>
    <mergeCell ref="J69:M69"/>
    <mergeCell ref="L18:AB18"/>
    <mergeCell ref="C18:J18"/>
    <mergeCell ref="S47:U47"/>
    <mergeCell ref="D82:F82"/>
    <mergeCell ref="B79:C79"/>
    <mergeCell ref="D79:F79"/>
    <mergeCell ref="B80:C80"/>
    <mergeCell ref="D80:F80"/>
    <mergeCell ref="P225:V225"/>
    <mergeCell ref="B114:C114"/>
    <mergeCell ref="B40:AC40"/>
    <mergeCell ref="B41:B42"/>
    <mergeCell ref="B127:C127"/>
    <mergeCell ref="B128:C128"/>
    <mergeCell ref="B116:C116"/>
    <mergeCell ref="O431:X431"/>
    <mergeCell ref="P236:V236"/>
    <mergeCell ref="W236:Y236"/>
    <mergeCell ref="B525:C525"/>
    <mergeCell ref="B526:C526"/>
    <mergeCell ref="B527:C527"/>
    <mergeCell ref="P385:AB385"/>
    <mergeCell ref="B89:C89"/>
    <mergeCell ref="D89:F89"/>
    <mergeCell ref="L19:AB19"/>
    <mergeCell ref="W144:Y144"/>
    <mergeCell ref="W145:Y145"/>
    <mergeCell ref="C25:J25"/>
    <mergeCell ref="D219:F219"/>
    <mergeCell ref="I688:J688"/>
    <mergeCell ref="K688:L688"/>
    <mergeCell ref="C683:H683"/>
    <mergeCell ref="C684:H684"/>
    <mergeCell ref="C686:H686"/>
    <mergeCell ref="B215:C215"/>
    <mergeCell ref="D215:F215"/>
    <mergeCell ref="J215:K215"/>
    <mergeCell ref="B192:C192"/>
    <mergeCell ref="D192:F192"/>
    <mergeCell ref="D173:F173"/>
    <mergeCell ref="J173:K173"/>
    <mergeCell ref="D174:F174"/>
    <mergeCell ref="W229:Y229"/>
    <mergeCell ref="D235:F235"/>
    <mergeCell ref="J235:K235"/>
    <mergeCell ref="B96:C96"/>
    <mergeCell ref="B97:C97"/>
    <mergeCell ref="B98:C98"/>
    <mergeCell ref="B99:C99"/>
    <mergeCell ref="B100:C100"/>
    <mergeCell ref="B101:C101"/>
    <mergeCell ref="B102:C102"/>
    <mergeCell ref="W230:Y230"/>
    <mergeCell ref="W147:Y147"/>
    <mergeCell ref="Z225:AB225"/>
    <mergeCell ref="I710:J710"/>
    <mergeCell ref="K709:L709"/>
    <mergeCell ref="K710:L710"/>
    <mergeCell ref="I708:J708"/>
    <mergeCell ref="K708:L708"/>
    <mergeCell ref="K702:L702"/>
    <mergeCell ref="K694:L694"/>
    <mergeCell ref="I699:J699"/>
    <mergeCell ref="N702:O702"/>
    <mergeCell ref="I700:J700"/>
    <mergeCell ref="K700:L700"/>
    <mergeCell ref="N700:O700"/>
    <mergeCell ref="I701:J701"/>
    <mergeCell ref="K701:L701"/>
    <mergeCell ref="N701:O701"/>
    <mergeCell ref="K697:L697"/>
    <mergeCell ref="N693:O693"/>
    <mergeCell ref="K699:L699"/>
    <mergeCell ref="N699:O699"/>
    <mergeCell ref="I707:J707"/>
    <mergeCell ref="K693:L693"/>
    <mergeCell ref="N694:O694"/>
    <mergeCell ref="K706:L706"/>
    <mergeCell ref="N706:O706"/>
    <mergeCell ref="N697:O697"/>
    <mergeCell ref="K712:L712"/>
    <mergeCell ref="I702:J702"/>
    <mergeCell ref="T725:V725"/>
    <mergeCell ref="P723:R723"/>
    <mergeCell ref="P724:R724"/>
    <mergeCell ref="P725:R725"/>
    <mergeCell ref="P726:R726"/>
    <mergeCell ref="P727:R727"/>
    <mergeCell ref="P232:V232"/>
    <mergeCell ref="W232:Y232"/>
    <mergeCell ref="B189:C189"/>
    <mergeCell ref="D189:F189"/>
    <mergeCell ref="J189:K189"/>
    <mergeCell ref="B190:C190"/>
    <mergeCell ref="W231:Y231"/>
    <mergeCell ref="I670:J670"/>
    <mergeCell ref="I682:J682"/>
    <mergeCell ref="K682:L682"/>
    <mergeCell ref="N682:O682"/>
    <mergeCell ref="I681:J681"/>
    <mergeCell ref="C681:H681"/>
    <mergeCell ref="C682:H682"/>
    <mergeCell ref="C680:H680"/>
    <mergeCell ref="T723:V723"/>
    <mergeCell ref="T724:V724"/>
    <mergeCell ref="N690:O690"/>
    <mergeCell ref="K677:L677"/>
    <mergeCell ref="D230:F230"/>
    <mergeCell ref="J230:K230"/>
    <mergeCell ref="B232:C232"/>
    <mergeCell ref="D232:F232"/>
    <mergeCell ref="J232:K232"/>
    <mergeCell ref="P728:R728"/>
    <mergeCell ref="H726:L726"/>
    <mergeCell ref="M726:O726"/>
    <mergeCell ref="H727:L727"/>
    <mergeCell ref="M727:O727"/>
    <mergeCell ref="I719:J719"/>
    <mergeCell ref="T721:V722"/>
    <mergeCell ref="P721:R722"/>
    <mergeCell ref="K719:L719"/>
    <mergeCell ref="N719:O719"/>
    <mergeCell ref="I717:J717"/>
    <mergeCell ref="K717:L717"/>
    <mergeCell ref="C699:H699"/>
    <mergeCell ref="N712:O712"/>
    <mergeCell ref="I713:J713"/>
    <mergeCell ref="K713:L713"/>
    <mergeCell ref="N713:O713"/>
    <mergeCell ref="I709:J709"/>
    <mergeCell ref="I706:J706"/>
    <mergeCell ref="I711:J711"/>
    <mergeCell ref="K711:L711"/>
    <mergeCell ref="N711:O711"/>
    <mergeCell ref="K707:L707"/>
    <mergeCell ref="N707:O707"/>
    <mergeCell ref="C723:G723"/>
    <mergeCell ref="H723:L723"/>
    <mergeCell ref="M723:O723"/>
    <mergeCell ref="M721:O722"/>
    <mergeCell ref="I714:J714"/>
    <mergeCell ref="K714:L714"/>
    <mergeCell ref="N714:O714"/>
    <mergeCell ref="I712:J712"/>
    <mergeCell ref="B825:AC825"/>
    <mergeCell ref="C729:G729"/>
    <mergeCell ref="C730:G730"/>
    <mergeCell ref="H729:L729"/>
    <mergeCell ref="M729:O729"/>
    <mergeCell ref="W723:X723"/>
    <mergeCell ref="W724:X724"/>
    <mergeCell ref="W725:X725"/>
    <mergeCell ref="W721:X722"/>
    <mergeCell ref="I718:J718"/>
    <mergeCell ref="K718:L718"/>
    <mergeCell ref="N718:O718"/>
    <mergeCell ref="Y721:AA722"/>
    <mergeCell ref="P729:R729"/>
    <mergeCell ref="P730:R730"/>
    <mergeCell ref="Y723:AA723"/>
    <mergeCell ref="H724:L724"/>
    <mergeCell ref="M724:O724"/>
    <mergeCell ref="Y724:AA724"/>
    <mergeCell ref="H725:L725"/>
    <mergeCell ref="M725:O725"/>
    <mergeCell ref="Y725:AA725"/>
    <mergeCell ref="B806:M806"/>
    <mergeCell ref="B808:J808"/>
    <mergeCell ref="H728:L728"/>
    <mergeCell ref="M728:O728"/>
    <mergeCell ref="C736:G736"/>
    <mergeCell ref="B824:AC824"/>
    <mergeCell ref="C725:G725"/>
    <mergeCell ref="B741:M741"/>
    <mergeCell ref="B740:M740"/>
    <mergeCell ref="C726:G726"/>
    <mergeCell ref="C44:J44"/>
    <mergeCell ref="K44:L44"/>
    <mergeCell ref="M44:N44"/>
    <mergeCell ref="W28:AB28"/>
    <mergeCell ref="C15:J15"/>
    <mergeCell ref="M28:N29"/>
    <mergeCell ref="C28:J29"/>
    <mergeCell ref="K38:L38"/>
    <mergeCell ref="M38:N38"/>
    <mergeCell ref="B26:AC26"/>
    <mergeCell ref="K41:L42"/>
    <mergeCell ref="M41:N42"/>
    <mergeCell ref="P41:U41"/>
    <mergeCell ref="W41:AB41"/>
    <mergeCell ref="P42:R42"/>
    <mergeCell ref="W34:Y34"/>
    <mergeCell ref="Z34:AB34"/>
    <mergeCell ref="P35:R35"/>
    <mergeCell ref="K30:L30"/>
    <mergeCell ref="L16:AB17"/>
    <mergeCell ref="S42:U42"/>
    <mergeCell ref="W42:Y42"/>
    <mergeCell ref="Z42:AB42"/>
    <mergeCell ref="K28:L29"/>
    <mergeCell ref="M33:N33"/>
    <mergeCell ref="M30:N30"/>
    <mergeCell ref="K31:L31"/>
    <mergeCell ref="M31:N31"/>
    <mergeCell ref="K34:L34"/>
    <mergeCell ref="M34:N34"/>
    <mergeCell ref="K35:L35"/>
    <mergeCell ref="M35:N35"/>
    <mergeCell ref="B1:AC1"/>
    <mergeCell ref="C2:AC2"/>
    <mergeCell ref="C3:AC3"/>
    <mergeCell ref="C4:AC4"/>
    <mergeCell ref="C5:AC5"/>
    <mergeCell ref="C6:AC6"/>
    <mergeCell ref="C7:AC7"/>
    <mergeCell ref="C20:J20"/>
    <mergeCell ref="L20:AB20"/>
    <mergeCell ref="P33:R33"/>
    <mergeCell ref="S33:U33"/>
    <mergeCell ref="W33:Y33"/>
    <mergeCell ref="Z33:AB33"/>
    <mergeCell ref="C9:AB10"/>
    <mergeCell ref="K16:K17"/>
    <mergeCell ref="M15:AB15"/>
    <mergeCell ref="C14:J14"/>
    <mergeCell ref="M11:AB11"/>
    <mergeCell ref="M12:AB12"/>
    <mergeCell ref="M13:AB13"/>
    <mergeCell ref="M14:AB14"/>
    <mergeCell ref="B27:AC27"/>
    <mergeCell ref="C11:J11"/>
    <mergeCell ref="C12:J12"/>
    <mergeCell ref="C13:J13"/>
    <mergeCell ref="K32:L32"/>
    <mergeCell ref="M32:N32"/>
    <mergeCell ref="C30:J30"/>
    <mergeCell ref="Z29:AB29"/>
    <mergeCell ref="P30:R30"/>
    <mergeCell ref="S30:U30"/>
    <mergeCell ref="W30:Y30"/>
    <mergeCell ref="P44:R44"/>
    <mergeCell ref="V88:AB88"/>
    <mergeCell ref="P136:AB136"/>
    <mergeCell ref="W141:Y141"/>
    <mergeCell ref="Z146:AB146"/>
    <mergeCell ref="Z147:AB147"/>
    <mergeCell ref="Z145:AB145"/>
    <mergeCell ref="W47:Y47"/>
    <mergeCell ref="Z47:AB47"/>
    <mergeCell ref="P142:V142"/>
    <mergeCell ref="W142:Y142"/>
    <mergeCell ref="Z142:AB142"/>
    <mergeCell ref="W143:Y143"/>
    <mergeCell ref="B51:AC51"/>
    <mergeCell ref="B52:B53"/>
    <mergeCell ref="Z143:AB143"/>
    <mergeCell ref="W146:Y146"/>
    <mergeCell ref="V86:AB86"/>
    <mergeCell ref="Z144:AB144"/>
    <mergeCell ref="B144:C144"/>
    <mergeCell ref="B70:M70"/>
    <mergeCell ref="B71:C71"/>
    <mergeCell ref="D71:F71"/>
    <mergeCell ref="J71:K71"/>
    <mergeCell ref="B72:C72"/>
    <mergeCell ref="D72:F72"/>
    <mergeCell ref="J72:K72"/>
    <mergeCell ref="P147:V147"/>
    <mergeCell ref="D107:F107"/>
    <mergeCell ref="D108:F108"/>
    <mergeCell ref="D109:F109"/>
    <mergeCell ref="D110:F110"/>
    <mergeCell ref="P31:R31"/>
    <mergeCell ref="S31:U31"/>
    <mergeCell ref="W31:Y31"/>
    <mergeCell ref="Z31:AB31"/>
    <mergeCell ref="P32:R32"/>
    <mergeCell ref="S32:U32"/>
    <mergeCell ref="W32:Y32"/>
    <mergeCell ref="Z32:AB32"/>
    <mergeCell ref="C43:J43"/>
    <mergeCell ref="K43:L43"/>
    <mergeCell ref="M43:N43"/>
    <mergeCell ref="P43:R43"/>
    <mergeCell ref="S43:U43"/>
    <mergeCell ref="W43:Y43"/>
    <mergeCell ref="Z43:AB43"/>
    <mergeCell ref="C31:J31"/>
    <mergeCell ref="C32:J32"/>
    <mergeCell ref="C33:J33"/>
    <mergeCell ref="C35:J35"/>
    <mergeCell ref="M37:N37"/>
    <mergeCell ref="S37:U37"/>
    <mergeCell ref="W37:Y37"/>
    <mergeCell ref="Z37:AB37"/>
    <mergeCell ref="P37:R37"/>
    <mergeCell ref="P34:R34"/>
    <mergeCell ref="S34:U34"/>
    <mergeCell ref="C34:J34"/>
    <mergeCell ref="B28:B29"/>
    <mergeCell ref="V75:AB75"/>
    <mergeCell ref="V77:AB77"/>
    <mergeCell ref="V78:AB78"/>
    <mergeCell ref="V79:AB79"/>
    <mergeCell ref="V80:AB80"/>
    <mergeCell ref="V81:AB81"/>
    <mergeCell ref="V82:AB82"/>
    <mergeCell ref="V83:AB83"/>
    <mergeCell ref="V84:AB84"/>
    <mergeCell ref="V85:AB85"/>
    <mergeCell ref="V87:AB87"/>
    <mergeCell ref="S35:U35"/>
    <mergeCell ref="W35:Y35"/>
    <mergeCell ref="Z35:AB35"/>
    <mergeCell ref="P36:R36"/>
    <mergeCell ref="S36:U36"/>
    <mergeCell ref="W36:Y36"/>
    <mergeCell ref="Z36:AB36"/>
    <mergeCell ref="P38:R38"/>
    <mergeCell ref="S38:U38"/>
    <mergeCell ref="W38:Y38"/>
    <mergeCell ref="Z38:AB38"/>
    <mergeCell ref="C38:J38"/>
    <mergeCell ref="C36:J36"/>
    <mergeCell ref="M36:N36"/>
    <mergeCell ref="P28:U28"/>
    <mergeCell ref="B67:M67"/>
    <mergeCell ref="P29:R29"/>
    <mergeCell ref="S29:U29"/>
    <mergeCell ref="W29:Y29"/>
    <mergeCell ref="Z30:AB30"/>
    <mergeCell ref="D208:F208"/>
    <mergeCell ref="Z228:AB228"/>
    <mergeCell ref="Z227:AB227"/>
    <mergeCell ref="P228:V228"/>
    <mergeCell ref="P233:V233"/>
    <mergeCell ref="W233:Y233"/>
    <mergeCell ref="Z233:AB233"/>
    <mergeCell ref="P234:V234"/>
    <mergeCell ref="Z234:AB234"/>
    <mergeCell ref="P235:V235"/>
    <mergeCell ref="W235:Y235"/>
    <mergeCell ref="Z235:AB235"/>
    <mergeCell ref="B233:C233"/>
    <mergeCell ref="D233:F233"/>
    <mergeCell ref="J233:K233"/>
    <mergeCell ref="P231:V231"/>
    <mergeCell ref="P226:V226"/>
    <mergeCell ref="W226:Y226"/>
    <mergeCell ref="Z230:AB230"/>
    <mergeCell ref="Z232:AB232"/>
    <mergeCell ref="B228:C228"/>
    <mergeCell ref="D228:F228"/>
    <mergeCell ref="J228:K228"/>
    <mergeCell ref="B226:C226"/>
    <mergeCell ref="D226:F226"/>
    <mergeCell ref="J226:K226"/>
    <mergeCell ref="J229:K229"/>
    <mergeCell ref="W228:Y228"/>
    <mergeCell ref="B234:C234"/>
    <mergeCell ref="D234:F234"/>
    <mergeCell ref="J234:K234"/>
    <mergeCell ref="B227:C227"/>
    <mergeCell ref="P149:V149"/>
    <mergeCell ref="B231:C231"/>
    <mergeCell ref="W149:Y149"/>
    <mergeCell ref="Z149:AB149"/>
    <mergeCell ref="P227:V227"/>
    <mergeCell ref="W227:Y227"/>
    <mergeCell ref="B178:C178"/>
    <mergeCell ref="B179:C179"/>
    <mergeCell ref="B186:H186"/>
    <mergeCell ref="J186:M186"/>
    <mergeCell ref="Z148:AB148"/>
    <mergeCell ref="B206:C206"/>
    <mergeCell ref="D206:F206"/>
    <mergeCell ref="J206:K206"/>
    <mergeCell ref="B207:C207"/>
    <mergeCell ref="D207:F207"/>
    <mergeCell ref="J207:K207"/>
    <mergeCell ref="B204:C204"/>
    <mergeCell ref="D204:F204"/>
    <mergeCell ref="J204:K204"/>
    <mergeCell ref="B205:C205"/>
    <mergeCell ref="B225:C225"/>
    <mergeCell ref="D225:F225"/>
    <mergeCell ref="J225:K225"/>
    <mergeCell ref="D200:F200"/>
    <mergeCell ref="J200:K200"/>
    <mergeCell ref="B201:C201"/>
    <mergeCell ref="D201:F201"/>
    <mergeCell ref="J201:K201"/>
    <mergeCell ref="D185:F185"/>
    <mergeCell ref="P148:V148"/>
    <mergeCell ref="J214:K214"/>
    <mergeCell ref="B160:C160"/>
    <mergeCell ref="B161:C161"/>
    <mergeCell ref="B162:C162"/>
    <mergeCell ref="B176:C176"/>
    <mergeCell ref="D117:F117"/>
    <mergeCell ref="J142:K142"/>
    <mergeCell ref="J135:K135"/>
    <mergeCell ref="J136:M136"/>
    <mergeCell ref="J140:K140"/>
    <mergeCell ref="J141:K141"/>
    <mergeCell ref="J143:K143"/>
    <mergeCell ref="J145:K145"/>
    <mergeCell ref="J152:K152"/>
    <mergeCell ref="J153:K153"/>
    <mergeCell ref="J154:K154"/>
    <mergeCell ref="B156:C156"/>
    <mergeCell ref="B157:C157"/>
    <mergeCell ref="B158:C158"/>
    <mergeCell ref="J155:K155"/>
    <mergeCell ref="D162:F162"/>
    <mergeCell ref="J161:K161"/>
    <mergeCell ref="J162:K162"/>
    <mergeCell ref="B129:C129"/>
    <mergeCell ref="B130:C130"/>
    <mergeCell ref="B131:C131"/>
    <mergeCell ref="B145:C145"/>
    <mergeCell ref="J175:K175"/>
    <mergeCell ref="B132:C132"/>
    <mergeCell ref="B133:C133"/>
    <mergeCell ref="B117:C117"/>
    <mergeCell ref="D140:F140"/>
    <mergeCell ref="B121:C121"/>
    <mergeCell ref="D130:F130"/>
    <mergeCell ref="D118:F118"/>
    <mergeCell ref="D119:F119"/>
    <mergeCell ref="D120:F120"/>
    <mergeCell ref="D121:F121"/>
    <mergeCell ref="D122:F122"/>
    <mergeCell ref="D123:F123"/>
    <mergeCell ref="D124:F124"/>
    <mergeCell ref="D125:F125"/>
    <mergeCell ref="D126:F126"/>
    <mergeCell ref="D127:F127"/>
    <mergeCell ref="D128:F128"/>
    <mergeCell ref="D129:F129"/>
    <mergeCell ref="D111:F111"/>
    <mergeCell ref="D112:F112"/>
    <mergeCell ref="D113:F113"/>
    <mergeCell ref="D114:F114"/>
    <mergeCell ref="D115:F115"/>
    <mergeCell ref="D116:F116"/>
    <mergeCell ref="J144:K144"/>
    <mergeCell ref="D202:F202"/>
    <mergeCell ref="J202:K202"/>
    <mergeCell ref="D203:F203"/>
    <mergeCell ref="J203:K203"/>
    <mergeCell ref="D90:F90"/>
    <mergeCell ref="J147:K147"/>
    <mergeCell ref="J146:K146"/>
    <mergeCell ref="J134:K134"/>
    <mergeCell ref="D243:F243"/>
    <mergeCell ref="B251:M251"/>
    <mergeCell ref="B252:C252"/>
    <mergeCell ref="D252:F252"/>
    <mergeCell ref="J252:K252"/>
    <mergeCell ref="B237:M237"/>
    <mergeCell ref="J150:K150"/>
    <mergeCell ref="D131:F131"/>
    <mergeCell ref="D132:F132"/>
    <mergeCell ref="D133:F133"/>
    <mergeCell ref="D134:F134"/>
    <mergeCell ref="D145:F145"/>
    <mergeCell ref="D142:F142"/>
    <mergeCell ref="D144:F144"/>
    <mergeCell ref="D135:F135"/>
    <mergeCell ref="D143:F143"/>
    <mergeCell ref="B221:M221"/>
    <mergeCell ref="D217:F217"/>
    <mergeCell ref="J156:K156"/>
    <mergeCell ref="J157:K157"/>
    <mergeCell ref="J158:K158"/>
    <mergeCell ref="J159:K159"/>
    <mergeCell ref="J160:K160"/>
    <mergeCell ref="D161:F161"/>
    <mergeCell ref="J219:K219"/>
    <mergeCell ref="D170:F170"/>
    <mergeCell ref="J170:K170"/>
    <mergeCell ref="J166:M166"/>
    <mergeCell ref="D156:F156"/>
    <mergeCell ref="D157:F157"/>
    <mergeCell ref="D158:F158"/>
    <mergeCell ref="B177:C177"/>
    <mergeCell ref="J243:K243"/>
    <mergeCell ref="J244:K244"/>
    <mergeCell ref="J245:K245"/>
    <mergeCell ref="B259:C259"/>
    <mergeCell ref="D259:F259"/>
    <mergeCell ref="J259:K259"/>
    <mergeCell ref="B202:C202"/>
    <mergeCell ref="B203:C203"/>
    <mergeCell ref="J185:K185"/>
    <mergeCell ref="B197:H197"/>
    <mergeCell ref="J197:M197"/>
    <mergeCell ref="B198:M198"/>
    <mergeCell ref="B236:H236"/>
    <mergeCell ref="J236:M236"/>
    <mergeCell ref="B253:C253"/>
    <mergeCell ref="D253:F253"/>
    <mergeCell ref="J253:K253"/>
    <mergeCell ref="B248:C248"/>
    <mergeCell ref="D248:F248"/>
    <mergeCell ref="J248:K248"/>
    <mergeCell ref="D249:F249"/>
    <mergeCell ref="J249:K249"/>
    <mergeCell ref="J250:M250"/>
    <mergeCell ref="B467:C467"/>
    <mergeCell ref="D467:F467"/>
    <mergeCell ref="J467:K467"/>
    <mergeCell ref="B468:C468"/>
    <mergeCell ref="J410:K410"/>
    <mergeCell ref="B426:C426"/>
    <mergeCell ref="D426:F426"/>
    <mergeCell ref="J426:K426"/>
    <mergeCell ref="J468:K468"/>
    <mergeCell ref="B465:C465"/>
    <mergeCell ref="J242:K242"/>
    <mergeCell ref="B262:C262"/>
    <mergeCell ref="D262:F262"/>
    <mergeCell ref="J262:K262"/>
    <mergeCell ref="B254:C254"/>
    <mergeCell ref="D254:F254"/>
    <mergeCell ref="J257:M257"/>
    <mergeCell ref="J254:K254"/>
    <mergeCell ref="B255:C255"/>
    <mergeCell ref="D255:F255"/>
    <mergeCell ref="J255:K255"/>
    <mergeCell ref="J463:K463"/>
    <mergeCell ref="B464:C464"/>
    <mergeCell ref="D464:F464"/>
    <mergeCell ref="J464:K464"/>
    <mergeCell ref="B461:C461"/>
    <mergeCell ref="D461:F461"/>
    <mergeCell ref="J461:K461"/>
    <mergeCell ref="B462:C462"/>
    <mergeCell ref="D462:F462"/>
    <mergeCell ref="J462:K462"/>
    <mergeCell ref="D458:F458"/>
    <mergeCell ref="W224:Y224"/>
    <mergeCell ref="W237:Y237"/>
    <mergeCell ref="Z229:AB229"/>
    <mergeCell ref="P229:V229"/>
    <mergeCell ref="J283:K283"/>
    <mergeCell ref="B300:C300"/>
    <mergeCell ref="D300:F300"/>
    <mergeCell ref="J300:K300"/>
    <mergeCell ref="X239:Y239"/>
    <mergeCell ref="B247:C247"/>
    <mergeCell ref="D247:F247"/>
    <mergeCell ref="J247:K247"/>
    <mergeCell ref="B244:C244"/>
    <mergeCell ref="D246:F246"/>
    <mergeCell ref="J246:K246"/>
    <mergeCell ref="B241:C241"/>
    <mergeCell ref="B243:C243"/>
    <mergeCell ref="B246:C246"/>
    <mergeCell ref="J277:K277"/>
    <mergeCell ref="W225:Y225"/>
    <mergeCell ref="B230:C230"/>
    <mergeCell ref="B238:C238"/>
    <mergeCell ref="B257:H257"/>
    <mergeCell ref="B270:C270"/>
    <mergeCell ref="B283:C283"/>
    <mergeCell ref="D283:F283"/>
    <mergeCell ref="B277:C277"/>
    <mergeCell ref="B287:C287"/>
    <mergeCell ref="D287:F287"/>
    <mergeCell ref="J287:K287"/>
    <mergeCell ref="D288:F288"/>
    <mergeCell ref="J288:K288"/>
    <mergeCell ref="B301:C301"/>
    <mergeCell ref="D301:F301"/>
    <mergeCell ref="J301:K301"/>
    <mergeCell ref="D302:F302"/>
    <mergeCell ref="J302:K302"/>
    <mergeCell ref="D296:F296"/>
    <mergeCell ref="J296:K296"/>
    <mergeCell ref="B284:C284"/>
    <mergeCell ref="D284:F284"/>
    <mergeCell ref="J284:K284"/>
    <mergeCell ref="D227:F227"/>
    <mergeCell ref="J227:K227"/>
    <mergeCell ref="B242:C242"/>
    <mergeCell ref="D241:F241"/>
    <mergeCell ref="D292:F292"/>
    <mergeCell ref="D276:F276"/>
    <mergeCell ref="J279:K279"/>
    <mergeCell ref="D280:F280"/>
    <mergeCell ref="J280:K280"/>
    <mergeCell ref="B281:H281"/>
    <mergeCell ref="J281:M281"/>
    <mergeCell ref="B282:M282"/>
    <mergeCell ref="B288:C288"/>
    <mergeCell ref="D277:F277"/>
    <mergeCell ref="D242:F242"/>
    <mergeCell ref="D256:F256"/>
    <mergeCell ref="J256:K256"/>
    <mergeCell ref="B260:C260"/>
    <mergeCell ref="D260:F260"/>
    <mergeCell ref="J260:K260"/>
    <mergeCell ref="B261:C261"/>
    <mergeCell ref="D261:F261"/>
    <mergeCell ref="B805:M805"/>
    <mergeCell ref="C564:H564"/>
    <mergeCell ref="M565:N565"/>
    <mergeCell ref="M566:N566"/>
    <mergeCell ref="M567:N567"/>
    <mergeCell ref="M568:N568"/>
    <mergeCell ref="M569:N569"/>
    <mergeCell ref="O565:P565"/>
    <mergeCell ref="O566:P566"/>
    <mergeCell ref="O567:P567"/>
    <mergeCell ref="O568:P568"/>
    <mergeCell ref="O569:P569"/>
    <mergeCell ref="I697:J697"/>
    <mergeCell ref="B721:B722"/>
    <mergeCell ref="C671:H671"/>
    <mergeCell ref="I671:J671"/>
    <mergeCell ref="C727:G727"/>
    <mergeCell ref="C728:G728"/>
    <mergeCell ref="C721:G722"/>
    <mergeCell ref="H721:L722"/>
    <mergeCell ref="C724:G724"/>
    <mergeCell ref="I689:J689"/>
    <mergeCell ref="I690:J690"/>
    <mergeCell ref="C692:H692"/>
    <mergeCell ref="I672:J672"/>
    <mergeCell ref="K672:L672"/>
    <mergeCell ref="K664:L664"/>
    <mergeCell ref="I657:J657"/>
    <mergeCell ref="K657:L657"/>
    <mergeCell ref="I647:J647"/>
    <mergeCell ref="K647:L647"/>
    <mergeCell ref="I677:J677"/>
    <mergeCell ref="D465:F465"/>
    <mergeCell ref="J465:K465"/>
    <mergeCell ref="B466:C466"/>
    <mergeCell ref="D466:F466"/>
    <mergeCell ref="J466:K466"/>
    <mergeCell ref="B463:C463"/>
    <mergeCell ref="D463:F463"/>
    <mergeCell ref="B743:J743"/>
    <mergeCell ref="B471:C471"/>
    <mergeCell ref="D471:F471"/>
    <mergeCell ref="J471:K471"/>
    <mergeCell ref="D472:F472"/>
    <mergeCell ref="J472:K472"/>
    <mergeCell ref="B474:M474"/>
    <mergeCell ref="B473:H473"/>
    <mergeCell ref="J473:M473"/>
    <mergeCell ref="B469:C469"/>
    <mergeCell ref="D469:F469"/>
    <mergeCell ref="J469:K469"/>
    <mergeCell ref="B470:C470"/>
    <mergeCell ref="D470:F470"/>
    <mergeCell ref="J470:K470"/>
    <mergeCell ref="I618:J618"/>
    <mergeCell ref="C697:H697"/>
    <mergeCell ref="I694:J694"/>
    <mergeCell ref="M730:O730"/>
    <mergeCell ref="H736:L736"/>
    <mergeCell ref="M736:O736"/>
    <mergeCell ref="N692:O692"/>
    <mergeCell ref="I693:J693"/>
    <mergeCell ref="B643:O643"/>
    <mergeCell ref="I692:J692"/>
    <mergeCell ref="H730:L730"/>
    <mergeCell ref="N677:O677"/>
    <mergeCell ref="C691:H691"/>
    <mergeCell ref="C693:H693"/>
    <mergeCell ref="K692:L692"/>
    <mergeCell ref="W152:Y152"/>
    <mergeCell ref="M24:O24"/>
    <mergeCell ref="M25:O25"/>
    <mergeCell ref="L23:M23"/>
    <mergeCell ref="C687:H687"/>
    <mergeCell ref="I687:J687"/>
    <mergeCell ref="K687:L687"/>
    <mergeCell ref="V71:AC71"/>
    <mergeCell ref="V72:AC72"/>
    <mergeCell ref="V73:AC73"/>
    <mergeCell ref="V74:AC74"/>
    <mergeCell ref="Q565:S565"/>
    <mergeCell ref="Q566:S566"/>
    <mergeCell ref="Q567:S567"/>
    <mergeCell ref="Q568:S568"/>
    <mergeCell ref="Q569:S569"/>
    <mergeCell ref="Q570:S570"/>
    <mergeCell ref="K671:L671"/>
    <mergeCell ref="I570:J570"/>
    <mergeCell ref="D468:F468"/>
    <mergeCell ref="B620:AA620"/>
    <mergeCell ref="N670:O670"/>
    <mergeCell ref="B648:H648"/>
    <mergeCell ref="C666:H666"/>
    <mergeCell ref="I569:J569"/>
    <mergeCell ref="N672:O672"/>
    <mergeCell ref="N668:O668"/>
    <mergeCell ref="P736:R736"/>
    <mergeCell ref="J292:K292"/>
    <mergeCell ref="D293:F293"/>
    <mergeCell ref="J293:K293"/>
    <mergeCell ref="D289:F289"/>
    <mergeCell ref="T565:V565"/>
    <mergeCell ref="T566:V566"/>
    <mergeCell ref="T567:V567"/>
    <mergeCell ref="T568:V568"/>
    <mergeCell ref="T569:V569"/>
    <mergeCell ref="I565:J565"/>
    <mergeCell ref="I566:J566"/>
    <mergeCell ref="I567:J567"/>
    <mergeCell ref="I568:J568"/>
    <mergeCell ref="B410:C410"/>
    <mergeCell ref="C737:G737"/>
    <mergeCell ref="H737:L737"/>
    <mergeCell ref="M737:O737"/>
    <mergeCell ref="P737:R737"/>
    <mergeCell ref="C734:G734"/>
    <mergeCell ref="H734:L734"/>
    <mergeCell ref="M734:O734"/>
    <mergeCell ref="P734:R734"/>
    <mergeCell ref="C735:G735"/>
    <mergeCell ref="H735:L735"/>
    <mergeCell ref="M735:O735"/>
    <mergeCell ref="P735:R735"/>
    <mergeCell ref="B732:B733"/>
    <mergeCell ref="C732:G733"/>
    <mergeCell ref="H732:L733"/>
    <mergeCell ref="M732:O733"/>
    <mergeCell ref="P732:R733"/>
  </mergeCells>
  <dataValidations xWindow="843" yWindow="587" count="7">
    <dataValidation allowBlank="1" showInputMessage="1" showErrorMessage="1" promptTitle="Akum Amor Aset Lainya" prompt="Isikan dengan tanda minus (-)" sqref="I698:L698"/>
    <dataValidation allowBlank="1" showInputMessage="1" showErrorMessage="1" sqref="I686:J687 I684:J684"/>
    <dataValidation allowBlank="1" showInputMessage="1" showErrorMessage="1" promptTitle="Akum Penyst Aset Ttp Lainnya" prompt="Isikan dengan tanda minus (-)" sqref="I685:L685"/>
    <dataValidation type="list" allowBlank="1" showInputMessage="1" showErrorMessage="1" sqref="L11">
      <formula1>$E$829:$E$882</formula1>
    </dataValidation>
    <dataValidation type="list" allowBlank="1" showInputMessage="1" showErrorMessage="1" sqref="L14">
      <formula1>$I$829:$I$833</formula1>
    </dataValidation>
    <dataValidation type="list" allowBlank="1" showInputMessage="1" showErrorMessage="1" sqref="L12">
      <formula1>$G$829:$G$998</formula1>
    </dataValidation>
    <dataValidation allowBlank="1" showInputMessage="1" showErrorMessage="1" prompt="di isi Uraian Eselon I" sqref="M12:AC12"/>
  </dataValidations>
  <pageMargins left="0.7" right="0.7" top="0.75" bottom="0.75" header="0.3" footer="0.3"/>
  <pageSetup paperSize="9" scale="10" orientation="landscape" horizontalDpi="4294967292" r:id="rId2"/>
  <rowBreaks count="2" manualBreakCount="2">
    <brk id="615" min="3" max="28" man="1"/>
    <brk id="703" min="3" max="28" man="1"/>
  </rowBreaks>
  <legacyDrawing r:id="rId3"/>
  <extLst>
    <ext xmlns:x14="http://schemas.microsoft.com/office/spreadsheetml/2009/9/main" uri="{CCE6A557-97BC-4b89-ADB6-D9C93CAAB3DF}">
      <x14:dataValidations xmlns:xm="http://schemas.microsoft.com/office/excel/2006/main" xWindow="843" yWindow="587" count="2">
        <x14:dataValidation type="list" allowBlank="1" showInputMessage="1" showErrorMessage="1">
          <x14:formula1>
            <xm:f>referensi!$I$2:$I$19</xm:f>
          </x14:formula1>
          <xm:sqref>L15</xm:sqref>
        </x14:dataValidation>
        <x14:dataValidation type="list" allowBlank="1" showInputMessage="1" showErrorMessage="1">
          <x14:formula1>
            <xm:f>referensi!$B$133:$B$157</xm:f>
          </x14:formula1>
          <xm:sqref>L13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K33"/>
  <sheetViews>
    <sheetView view="pageBreakPreview" zoomScale="70" zoomScaleSheetLayoutView="70" workbookViewId="0">
      <selection activeCell="N33" sqref="N33"/>
    </sheetView>
  </sheetViews>
  <sheetFormatPr defaultColWidth="10" defaultRowHeight="15.5" x14ac:dyDescent="0.35"/>
  <cols>
    <col min="1" max="4" width="10" style="199"/>
    <col min="5" max="5" width="11.25" style="199" customWidth="1"/>
    <col min="6" max="6" width="3.58203125" style="199" customWidth="1"/>
    <col min="7" max="7" width="2.5" style="199" customWidth="1"/>
    <col min="8" max="8" width="6.75" style="315" customWidth="1"/>
    <col min="9" max="9" width="2.75" style="315" customWidth="1"/>
    <col min="10" max="10" width="8" style="199" customWidth="1"/>
    <col min="11" max="11" width="5.25" style="199" customWidth="1"/>
    <col min="12" max="16384" width="10" style="199"/>
  </cols>
  <sheetData>
    <row r="2" spans="1:11" ht="35.25" customHeight="1" x14ac:dyDescent="0.35">
      <c r="A2" s="2108" t="str">
        <f>Input!M13</f>
        <v>BALAI PELESTARIAN NILAI BUDAYA BALI</v>
      </c>
      <c r="B2" s="2108"/>
      <c r="C2" s="2108"/>
      <c r="D2" s="2108"/>
      <c r="E2" s="2108"/>
      <c r="F2" s="318"/>
      <c r="G2" s="322"/>
      <c r="H2" s="318"/>
      <c r="I2" s="322"/>
      <c r="J2" s="318"/>
      <c r="K2" s="318"/>
    </row>
    <row r="3" spans="1:11" ht="35.25" customHeight="1" x14ac:dyDescent="0.35">
      <c r="A3" s="2108"/>
      <c r="B3" s="2108"/>
      <c r="C3" s="2108"/>
      <c r="D3" s="2108"/>
      <c r="E3" s="2108"/>
      <c r="F3" s="318"/>
      <c r="G3" s="322"/>
      <c r="H3" s="318"/>
      <c r="I3" s="322"/>
      <c r="J3" s="318"/>
      <c r="K3" s="318"/>
    </row>
    <row r="4" spans="1:11" ht="35.25" customHeight="1" x14ac:dyDescent="0.35">
      <c r="A4" s="2108"/>
      <c r="B4" s="2108"/>
      <c r="C4" s="2108"/>
      <c r="D4" s="2108"/>
      <c r="E4" s="2108"/>
      <c r="F4" s="318"/>
      <c r="G4" s="322"/>
      <c r="H4" s="318"/>
      <c r="I4" s="322"/>
      <c r="J4" s="318"/>
      <c r="K4" s="318"/>
    </row>
    <row r="5" spans="1:11" ht="27" customHeight="1" x14ac:dyDescent="0.35">
      <c r="A5" s="2108"/>
      <c r="B5" s="2108"/>
      <c r="C5" s="2108"/>
      <c r="D5" s="2108"/>
      <c r="E5" s="2108"/>
      <c r="F5" s="319"/>
      <c r="G5" s="323"/>
      <c r="H5" s="319"/>
      <c r="I5" s="323"/>
      <c r="J5" s="319"/>
      <c r="K5" s="319"/>
    </row>
    <row r="6" spans="1:11" ht="18" customHeight="1" x14ac:dyDescent="0.35">
      <c r="A6" s="2109" t="str">
        <f>"Untuk Periode Yang Berakhir "&amp;Input!$Q$24</f>
        <v>Untuk Periode Yang Berakhir 31 Desember 2019</v>
      </c>
      <c r="B6" s="2110"/>
      <c r="C6" s="2110"/>
      <c r="D6" s="2110"/>
      <c r="E6" s="2110"/>
      <c r="F6" s="319"/>
      <c r="G6" s="323"/>
      <c r="H6" s="319"/>
      <c r="I6" s="323"/>
      <c r="J6" s="319"/>
      <c r="K6" s="319"/>
    </row>
    <row r="7" spans="1:11" x14ac:dyDescent="0.35">
      <c r="A7" s="323"/>
      <c r="B7" s="323"/>
      <c r="C7" s="323"/>
      <c r="D7" s="323"/>
      <c r="E7" s="323"/>
      <c r="F7" s="319"/>
      <c r="G7" s="323"/>
      <c r="H7" s="319"/>
      <c r="I7" s="323"/>
      <c r="J7" s="319"/>
      <c r="K7" s="319"/>
    </row>
    <row r="8" spans="1:11" ht="20" x14ac:dyDescent="0.35">
      <c r="A8" s="325"/>
      <c r="B8" s="323"/>
      <c r="C8" s="323"/>
      <c r="D8" s="323"/>
      <c r="E8" s="323"/>
      <c r="F8" s="319"/>
      <c r="G8" s="323"/>
      <c r="H8" s="319"/>
      <c r="I8" s="323"/>
      <c r="J8" s="319"/>
      <c r="K8" s="319"/>
    </row>
    <row r="9" spans="1:11" ht="20" x14ac:dyDescent="0.35">
      <c r="A9" s="325"/>
      <c r="B9" s="323"/>
      <c r="C9" s="323"/>
      <c r="D9" s="323"/>
      <c r="E9" s="323"/>
      <c r="F9" s="319"/>
      <c r="G9" s="323"/>
      <c r="H9" s="319"/>
      <c r="I9" s="323"/>
      <c r="J9" s="319"/>
      <c r="K9" s="319"/>
    </row>
    <row r="10" spans="1:11" ht="20" x14ac:dyDescent="0.35">
      <c r="A10" s="325"/>
      <c r="B10" s="323"/>
      <c r="C10" s="323"/>
      <c r="D10" s="323"/>
      <c r="E10" s="323"/>
      <c r="F10" s="319"/>
      <c r="G10" s="323"/>
      <c r="H10" s="319"/>
      <c r="I10" s="323"/>
      <c r="J10" s="319"/>
      <c r="K10" s="319"/>
    </row>
    <row r="11" spans="1:11" ht="20" x14ac:dyDescent="0.35">
      <c r="A11" s="325"/>
      <c r="B11" s="323"/>
      <c r="C11" s="323"/>
      <c r="D11" s="323"/>
      <c r="E11" s="323"/>
      <c r="F11" s="319"/>
      <c r="G11" s="323"/>
      <c r="H11" s="319"/>
      <c r="I11" s="323"/>
      <c r="J11" s="319"/>
      <c r="K11" s="319"/>
    </row>
    <row r="12" spans="1:11" ht="20" x14ac:dyDescent="0.35">
      <c r="A12" s="325"/>
      <c r="B12" s="323"/>
      <c r="C12" s="323"/>
      <c r="D12" s="323"/>
      <c r="E12" s="323"/>
      <c r="F12" s="319"/>
      <c r="G12" s="323"/>
      <c r="H12" s="319"/>
      <c r="I12" s="323"/>
      <c r="J12" s="319"/>
      <c r="K12" s="319"/>
    </row>
    <row r="13" spans="1:11" ht="20" x14ac:dyDescent="0.35">
      <c r="A13" s="325"/>
      <c r="B13" s="323"/>
      <c r="C13" s="323"/>
      <c r="D13" s="323"/>
      <c r="E13" s="323"/>
      <c r="F13" s="319"/>
      <c r="G13" s="323"/>
      <c r="H13" s="319"/>
      <c r="I13" s="323"/>
      <c r="J13" s="319"/>
      <c r="K13" s="319"/>
    </row>
    <row r="14" spans="1:11" ht="20" x14ac:dyDescent="0.35">
      <c r="A14" s="325"/>
      <c r="B14" s="323"/>
      <c r="C14" s="323"/>
      <c r="D14" s="323"/>
      <c r="E14" s="323"/>
      <c r="F14" s="319"/>
      <c r="G14" s="323"/>
      <c r="H14" s="319"/>
      <c r="I14" s="323"/>
      <c r="J14" s="319"/>
      <c r="K14" s="319"/>
    </row>
    <row r="15" spans="1:11" ht="20" x14ac:dyDescent="0.35">
      <c r="A15" s="325"/>
      <c r="B15" s="323"/>
      <c r="C15" s="323"/>
      <c r="D15" s="323"/>
      <c r="E15" s="323"/>
      <c r="F15" s="319"/>
      <c r="G15" s="323"/>
      <c r="H15" s="319"/>
      <c r="I15" s="323"/>
      <c r="J15" s="319"/>
      <c r="K15" s="319"/>
    </row>
    <row r="16" spans="1:11" ht="20" x14ac:dyDescent="0.35">
      <c r="A16" s="325"/>
      <c r="B16" s="323"/>
      <c r="C16" s="323"/>
      <c r="D16" s="323"/>
      <c r="E16" s="323"/>
      <c r="F16" s="319"/>
      <c r="G16" s="323"/>
      <c r="H16" s="319"/>
      <c r="I16" s="323"/>
      <c r="J16" s="319"/>
      <c r="K16" s="319"/>
    </row>
    <row r="17" spans="1:11" ht="20" x14ac:dyDescent="0.35">
      <c r="A17" s="325"/>
      <c r="B17" s="323"/>
      <c r="C17" s="323"/>
      <c r="D17" s="323"/>
      <c r="E17" s="323"/>
      <c r="F17" s="319"/>
      <c r="G17" s="323"/>
      <c r="H17" s="319"/>
      <c r="I17" s="323"/>
      <c r="J17" s="319"/>
      <c r="K17" s="319"/>
    </row>
    <row r="18" spans="1:11" ht="20" x14ac:dyDescent="0.35">
      <c r="A18" s="325"/>
      <c r="B18" s="323"/>
      <c r="C18" s="323"/>
      <c r="D18" s="323"/>
      <c r="E18" s="323"/>
      <c r="F18" s="319"/>
      <c r="G18" s="323"/>
      <c r="H18" s="319"/>
      <c r="I18" s="323"/>
      <c r="J18" s="319"/>
      <c r="K18" s="319"/>
    </row>
    <row r="19" spans="1:11" ht="20" x14ac:dyDescent="0.35">
      <c r="A19" s="325"/>
      <c r="B19" s="323"/>
      <c r="C19" s="323"/>
      <c r="D19" s="323"/>
      <c r="E19" s="323"/>
      <c r="F19" s="319"/>
      <c r="G19" s="323"/>
      <c r="H19" s="319"/>
      <c r="I19" s="323"/>
      <c r="J19" s="319"/>
      <c r="K19" s="319"/>
    </row>
    <row r="20" spans="1:11" ht="20" x14ac:dyDescent="0.35">
      <c r="A20" s="325"/>
      <c r="B20" s="323"/>
      <c r="C20" s="323"/>
      <c r="D20" s="323"/>
      <c r="E20" s="323"/>
      <c r="F20" s="319"/>
      <c r="G20" s="323"/>
      <c r="H20" s="319"/>
      <c r="I20" s="323"/>
      <c r="J20" s="319"/>
      <c r="K20" s="319"/>
    </row>
    <row r="21" spans="1:11" ht="20" x14ac:dyDescent="0.35">
      <c r="A21" s="325"/>
      <c r="B21" s="323"/>
      <c r="C21" s="323"/>
      <c r="D21" s="323"/>
      <c r="E21" s="323"/>
      <c r="F21" s="319"/>
      <c r="G21" s="323"/>
      <c r="H21" s="319"/>
      <c r="I21" s="323"/>
      <c r="J21" s="319"/>
      <c r="K21" s="319"/>
    </row>
    <row r="22" spans="1:11" ht="20" x14ac:dyDescent="0.35">
      <c r="A22" s="325"/>
      <c r="B22" s="323"/>
      <c r="C22" s="323"/>
      <c r="D22" s="323"/>
      <c r="E22" s="323"/>
      <c r="F22" s="319"/>
      <c r="G22" s="323"/>
      <c r="H22" s="319"/>
      <c r="I22" s="323"/>
      <c r="J22" s="319"/>
      <c r="K22" s="319"/>
    </row>
    <row r="23" spans="1:11" ht="20" x14ac:dyDescent="0.35">
      <c r="A23" s="325"/>
      <c r="B23" s="323"/>
      <c r="C23" s="323"/>
      <c r="D23" s="323"/>
      <c r="E23" s="323"/>
      <c r="F23" s="319"/>
      <c r="G23" s="323"/>
      <c r="H23" s="319"/>
      <c r="I23" s="323"/>
      <c r="J23" s="319"/>
      <c r="K23" s="319"/>
    </row>
    <row r="24" spans="1:11" ht="20" x14ac:dyDescent="0.35">
      <c r="A24" s="325"/>
      <c r="B24" s="323"/>
      <c r="C24" s="323"/>
      <c r="D24" s="323"/>
      <c r="E24" s="323"/>
      <c r="F24" s="319"/>
      <c r="G24" s="323"/>
      <c r="H24" s="319"/>
      <c r="I24" s="323"/>
      <c r="J24" s="319"/>
      <c r="K24" s="319"/>
    </row>
    <row r="25" spans="1:11" ht="20" x14ac:dyDescent="0.35">
      <c r="A25" s="325"/>
      <c r="B25" s="323"/>
      <c r="C25" s="323"/>
      <c r="D25" s="323"/>
      <c r="E25" s="323"/>
      <c r="F25" s="319"/>
      <c r="G25" s="323"/>
      <c r="H25" s="319"/>
      <c r="I25" s="323"/>
      <c r="J25" s="319"/>
      <c r="K25" s="319"/>
    </row>
    <row r="26" spans="1:11" ht="20" x14ac:dyDescent="0.35">
      <c r="A26" s="325"/>
      <c r="B26" s="323"/>
      <c r="C26" s="323"/>
      <c r="D26" s="323"/>
      <c r="E26" s="323"/>
      <c r="F26" s="319"/>
      <c r="G26" s="323"/>
      <c r="H26" s="319"/>
      <c r="I26" s="323"/>
      <c r="J26" s="319"/>
      <c r="K26" s="319"/>
    </row>
    <row r="27" spans="1:11" ht="20" x14ac:dyDescent="0.35">
      <c r="A27" s="325"/>
      <c r="B27" s="323"/>
      <c r="C27" s="323"/>
      <c r="D27" s="323"/>
      <c r="E27" s="323"/>
      <c r="F27" s="319"/>
      <c r="G27" s="323"/>
      <c r="H27" s="319"/>
      <c r="I27" s="323"/>
      <c r="J27" s="319"/>
      <c r="K27" s="319"/>
    </row>
    <row r="28" spans="1:11" ht="20" x14ac:dyDescent="0.35">
      <c r="A28" s="325"/>
      <c r="B28" s="323"/>
      <c r="C28" s="323"/>
      <c r="D28" s="323"/>
      <c r="E28" s="323"/>
      <c r="F28" s="319"/>
      <c r="G28" s="323"/>
      <c r="H28" s="319"/>
      <c r="I28" s="323"/>
      <c r="J28" s="319"/>
      <c r="K28" s="319"/>
    </row>
    <row r="29" spans="1:11" ht="20" x14ac:dyDescent="0.35">
      <c r="A29" s="325"/>
      <c r="B29" s="323"/>
      <c r="C29" s="323"/>
      <c r="D29" s="323"/>
      <c r="E29" s="323"/>
      <c r="F29" s="319"/>
      <c r="G29" s="323"/>
      <c r="H29" s="319"/>
      <c r="I29" s="323"/>
      <c r="J29" s="319"/>
      <c r="K29" s="319"/>
    </row>
    <row r="30" spans="1:11" ht="20" x14ac:dyDescent="0.35">
      <c r="A30" s="325"/>
      <c r="B30" s="323"/>
      <c r="C30" s="323"/>
      <c r="D30" s="323"/>
      <c r="E30" s="323"/>
      <c r="F30" s="319"/>
      <c r="G30" s="323"/>
      <c r="H30" s="319"/>
      <c r="I30" s="323"/>
      <c r="J30" s="319"/>
      <c r="K30" s="319"/>
    </row>
    <row r="31" spans="1:11" ht="43.5" customHeight="1" x14ac:dyDescent="0.35">
      <c r="A31" s="2107" t="str">
        <f>Input!L16</f>
        <v>Jalan Raya Dalung Abianbase No. 107, Dalung, Kuta Utara, Badung, Bali.</v>
      </c>
      <c r="B31" s="2107"/>
      <c r="C31" s="2107"/>
      <c r="D31" s="2107"/>
      <c r="E31" s="2107"/>
      <c r="F31" s="321"/>
      <c r="G31" s="324"/>
      <c r="H31" s="321"/>
      <c r="I31" s="324"/>
      <c r="J31" s="321"/>
      <c r="K31" s="320"/>
    </row>
    <row r="32" spans="1:11" ht="20" x14ac:dyDescent="0.35">
      <c r="A32" s="2107" t="str">
        <f>Input!L20</f>
        <v>Badung</v>
      </c>
      <c r="B32" s="2107"/>
      <c r="C32" s="2107"/>
      <c r="D32" s="2107"/>
      <c r="E32" s="2107"/>
      <c r="F32" s="319"/>
      <c r="G32" s="323"/>
      <c r="H32" s="319"/>
      <c r="I32" s="323"/>
      <c r="J32" s="319"/>
      <c r="K32" s="319"/>
    </row>
    <row r="33" spans="1:11" x14ac:dyDescent="0.35">
      <c r="A33" s="323"/>
      <c r="B33" s="323"/>
      <c r="C33" s="323"/>
      <c r="D33" s="323"/>
      <c r="E33" s="323"/>
      <c r="F33" s="319"/>
      <c r="G33" s="323"/>
      <c r="H33" s="319"/>
      <c r="I33" s="323"/>
      <c r="J33" s="319"/>
      <c r="K33" s="319"/>
    </row>
  </sheetData>
  <customSheetViews>
    <customSheetView guid="{EBF27D8D-2DD9-43E5-8C42-19F0B73014F5}" showPageBreaks="1" view="pageBreakPreview">
      <selection activeCell="E33" sqref="E33"/>
      <pageMargins left="0.70866141732283472" right="0.6" top="0.8" bottom="0.17" header="0.47" footer="0.31496062992125984"/>
      <pageSetup paperSize="9" orientation="portrait" horizontalDpi="4294967294" r:id="rId1"/>
    </customSheetView>
  </customSheetViews>
  <mergeCells count="4">
    <mergeCell ref="A32:E32"/>
    <mergeCell ref="A2:E5"/>
    <mergeCell ref="A31:E31"/>
    <mergeCell ref="A6:E6"/>
  </mergeCells>
  <printOptions horizontalCentered="1"/>
  <pageMargins left="0.31496062992125984" right="0.23622047244094491" top="0.74803149606299213" bottom="0.86614173228346458" header="0.31496062992125984" footer="0.31496062992125984"/>
  <pageSetup paperSize="9" orientation="portrait" horizontalDpi="4294967294"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47"/>
  <sheetViews>
    <sheetView tabSelected="1" view="pageBreakPreview" zoomScaleSheetLayoutView="100" workbookViewId="0">
      <selection activeCell="I43" sqref="I43"/>
    </sheetView>
  </sheetViews>
  <sheetFormatPr defaultColWidth="10" defaultRowHeight="15.5" x14ac:dyDescent="0.35"/>
  <cols>
    <col min="1" max="1" width="4.58203125" style="665" customWidth="1"/>
    <col min="2" max="10" width="10" style="199"/>
    <col min="11" max="11" width="0.83203125" style="199" customWidth="1"/>
    <col min="12" max="16384" width="10" style="199"/>
  </cols>
  <sheetData>
    <row r="1" spans="1:10" x14ac:dyDescent="0.35">
      <c r="B1" s="2112" t="str">
        <f>"Laporan Keuangan Balai Pelestarian Nilai Budaya Bali Untuk Periode yang Berakhir 31 Desember 2019"</f>
        <v>Laporan Keuangan Balai Pelestarian Nilai Budaya Bali Untuk Periode yang Berakhir 31 Desember 2019</v>
      </c>
      <c r="C1" s="2112"/>
      <c r="D1" s="2112"/>
      <c r="E1" s="2112"/>
      <c r="F1" s="2112"/>
      <c r="G1" s="2112"/>
      <c r="H1" s="2112"/>
      <c r="I1" s="2112"/>
      <c r="J1" s="2112"/>
    </row>
    <row r="2" spans="1:10" s="260" customFormat="1" x14ac:dyDescent="0.35">
      <c r="A2" s="665"/>
    </row>
    <row r="3" spans="1:10" s="259" customFormat="1" ht="10.5" customHeight="1" x14ac:dyDescent="0.5">
      <c r="B3" s="2113" t="s">
        <v>2224</v>
      </c>
      <c r="C3" s="2113"/>
      <c r="D3" s="2113"/>
      <c r="E3" s="2113"/>
      <c r="F3" s="2113"/>
      <c r="G3" s="2113"/>
      <c r="H3" s="2113"/>
      <c r="I3" s="2113"/>
      <c r="J3" s="2113"/>
    </row>
    <row r="4" spans="1:10" s="259" customFormat="1" ht="10.5" customHeight="1" x14ac:dyDescent="0.5">
      <c r="B4" s="2113"/>
      <c r="C4" s="2113"/>
      <c r="D4" s="2113"/>
      <c r="E4" s="2113"/>
      <c r="F4" s="2113"/>
      <c r="G4" s="2113"/>
      <c r="H4" s="2113"/>
      <c r="I4" s="2113"/>
      <c r="J4" s="2113"/>
    </row>
    <row r="6" spans="1:10" s="315" customFormat="1" x14ac:dyDescent="0.35">
      <c r="A6" s="665"/>
    </row>
    <row r="7" spans="1:10" x14ac:dyDescent="0.35">
      <c r="B7" s="2111" t="s">
        <v>1210</v>
      </c>
      <c r="C7" s="2111"/>
      <c r="D7" s="2111"/>
      <c r="E7" s="2111"/>
      <c r="F7" s="2111"/>
      <c r="G7" s="2111"/>
      <c r="H7" s="2111"/>
      <c r="I7" s="2111"/>
      <c r="J7" s="2111"/>
    </row>
    <row r="8" spans="1:10" s="315" customFormat="1" x14ac:dyDescent="0.35">
      <c r="A8" s="665"/>
      <c r="B8" s="2111"/>
      <c r="C8" s="2111"/>
      <c r="D8" s="2111"/>
      <c r="E8" s="2111"/>
      <c r="F8" s="2111"/>
      <c r="G8" s="2111"/>
      <c r="H8" s="2111"/>
      <c r="I8" s="2111"/>
      <c r="J8" s="2111"/>
    </row>
    <row r="9" spans="1:10" s="315" customFormat="1" x14ac:dyDescent="0.35">
      <c r="A9" s="665"/>
      <c r="B9" s="2111"/>
      <c r="C9" s="2111"/>
      <c r="D9" s="2111"/>
      <c r="E9" s="2111"/>
      <c r="F9" s="2111"/>
      <c r="G9" s="2111"/>
      <c r="H9" s="2111"/>
      <c r="I9" s="2111"/>
      <c r="J9" s="2111"/>
    </row>
    <row r="10" spans="1:10" s="315" customFormat="1" x14ac:dyDescent="0.35">
      <c r="A10" s="665"/>
      <c r="B10" s="2111"/>
      <c r="C10" s="2111"/>
      <c r="D10" s="2111"/>
      <c r="E10" s="2111"/>
      <c r="F10" s="2111"/>
      <c r="G10" s="2111"/>
      <c r="H10" s="2111"/>
      <c r="I10" s="2111"/>
      <c r="J10" s="2111"/>
    </row>
    <row r="11" spans="1:10" s="315" customFormat="1" x14ac:dyDescent="0.35">
      <c r="A11" s="665"/>
      <c r="B11" s="2111"/>
      <c r="C11" s="2111"/>
      <c r="D11" s="2111"/>
      <c r="E11" s="2111"/>
      <c r="F11" s="2111"/>
      <c r="G11" s="2111"/>
      <c r="H11" s="2111"/>
      <c r="I11" s="2111"/>
      <c r="J11" s="2111"/>
    </row>
    <row r="12" spans="1:10" x14ac:dyDescent="0.35">
      <c r="B12" s="2111" t="str">
        <f>Input!M13&amp;" adalah salah satu entitas akuntansi di bawah "&amp;" "&amp;Input!M11&amp;" yang berkewajiban menyelenggarakan akuntansi dan laporan pertanggungjawaban atas pelaksanaan Anggaran Pendapatan dan Belanja Negara. "&amp;" Salah satu pelaksanaannya adalah dengan menyusun laporan keuangan berupa Laporan Realisasi Anggaran, Neraca, Laporan Operasional, Laporan Perubahan Ekuitas dan Catatan atas Laporan Keuangan."</f>
        <v>BALAI PELESTARIAN NILAI BUDAYA BALI adalah salah satu entitas akuntansi di bawah  KEMENTERIAN PENDIDIKAN DAN KEBUDAYAAN yang berkewajiban menyelenggarakan akuntansi dan laporan pertanggungjawaban atas pelaksanaan Anggaran Pendapatan dan Belanja Negara.  Salah satu pelaksanaannya adalah dengan menyusun laporan keuangan berupa Laporan Realisasi Anggaran, Neraca, Laporan Operasional, Laporan Perubahan Ekuitas dan Catatan atas Laporan Keuangan.</v>
      </c>
      <c r="C12" s="2111"/>
      <c r="D12" s="2111"/>
      <c r="E12" s="2111"/>
      <c r="F12" s="2111"/>
      <c r="G12" s="2111"/>
      <c r="H12" s="2111"/>
      <c r="I12" s="2111"/>
      <c r="J12" s="2111"/>
    </row>
    <row r="13" spans="1:10" s="315" customFormat="1" x14ac:dyDescent="0.35">
      <c r="A13" s="665"/>
      <c r="B13" s="2111"/>
      <c r="C13" s="2111"/>
      <c r="D13" s="2111"/>
      <c r="E13" s="2111"/>
      <c r="F13" s="2111"/>
      <c r="G13" s="2111"/>
      <c r="H13" s="2111"/>
      <c r="I13" s="2111"/>
      <c r="J13" s="2111"/>
    </row>
    <row r="14" spans="1:10" s="665" customFormat="1" x14ac:dyDescent="0.35">
      <c r="B14" s="2111"/>
      <c r="C14" s="2111"/>
      <c r="D14" s="2111"/>
      <c r="E14" s="2111"/>
      <c r="F14" s="2111"/>
      <c r="G14" s="2111"/>
      <c r="H14" s="2111"/>
      <c r="I14" s="2111"/>
      <c r="J14" s="2111"/>
    </row>
    <row r="15" spans="1:10" s="315" customFormat="1" x14ac:dyDescent="0.35">
      <c r="A15" s="665"/>
      <c r="B15" s="2111"/>
      <c r="C15" s="2111"/>
      <c r="D15" s="2111"/>
      <c r="E15" s="2111"/>
      <c r="F15" s="2111"/>
      <c r="G15" s="2111"/>
      <c r="H15" s="2111"/>
      <c r="I15" s="2111"/>
      <c r="J15" s="2111"/>
    </row>
    <row r="16" spans="1:10" s="315" customFormat="1" x14ac:dyDescent="0.35">
      <c r="A16" s="665"/>
      <c r="B16" s="2111"/>
      <c r="C16" s="2111"/>
      <c r="D16" s="2111"/>
      <c r="E16" s="2111"/>
      <c r="F16" s="2111"/>
      <c r="G16" s="2111"/>
      <c r="H16" s="2111"/>
      <c r="I16" s="2111"/>
      <c r="J16" s="2111"/>
    </row>
    <row r="17" spans="1:10" s="315" customFormat="1" x14ac:dyDescent="0.35">
      <c r="A17" s="665"/>
      <c r="B17" s="2111"/>
      <c r="C17" s="2111"/>
      <c r="D17" s="2111"/>
      <c r="E17" s="2111"/>
      <c r="F17" s="2111"/>
      <c r="G17" s="2111"/>
      <c r="H17" s="2111"/>
      <c r="I17" s="2111"/>
      <c r="J17" s="2111"/>
    </row>
    <row r="18" spans="1:10" x14ac:dyDescent="0.35">
      <c r="B18" s="2111"/>
      <c r="C18" s="2111"/>
      <c r="D18" s="2111"/>
      <c r="E18" s="2111"/>
      <c r="F18" s="2111"/>
      <c r="G18" s="2111"/>
      <c r="H18" s="2111"/>
      <c r="I18" s="2111"/>
      <c r="J18" s="2111"/>
    </row>
    <row r="19" spans="1:10" s="517" customFormat="1" x14ac:dyDescent="0.35">
      <c r="A19" s="665"/>
      <c r="B19" s="669"/>
      <c r="C19" s="669"/>
      <c r="D19" s="669"/>
      <c r="E19" s="669"/>
      <c r="F19" s="669"/>
      <c r="G19" s="669"/>
      <c r="H19" s="669"/>
      <c r="I19" s="669"/>
      <c r="J19" s="669"/>
    </row>
    <row r="20" spans="1:10" x14ac:dyDescent="0.35">
      <c r="B20" s="2111" t="str">
        <f>"Penyusunan Laporan Keuangan "&amp;Input!$M$13&amp;" mengacu pada Peraturan Pemerintah Nomor 71 Tahun 2010 tentang Standar Akuntansi Pemerintahan dan kaidah-kaidah pengelolaan keuangan yang sehat dalam Pemerintahan. "&amp;" Laporan Keuangan ini telah disusun dan disajikan dengan basis akrual sehingga akan mampu menyajikan informasi keuangan yang transparan, akurat dan akuntabel."</f>
        <v>Penyusunan Laporan Keuangan BALAI PELESTARIAN NILAI BUDAYA BALI mengacu pada Peraturan Pemerintah Nomor 71 Tahun 2010 tentang Standar Akuntansi Pemerintahan dan kaidah-kaidah pengelolaan keuangan yang sehat dalam Pemerintahan.  Laporan Keuangan ini telah disusun dan disajikan dengan basis akrual sehingga akan mampu menyajikan informasi keuangan yang transparan, akurat dan akuntabel.</v>
      </c>
      <c r="C20" s="2111"/>
      <c r="D20" s="2111"/>
      <c r="E20" s="2111"/>
      <c r="F20" s="2111"/>
      <c r="G20" s="2111"/>
      <c r="H20" s="2111"/>
      <c r="I20" s="2111"/>
      <c r="J20" s="2111"/>
    </row>
    <row r="21" spans="1:10" s="315" customFormat="1" x14ac:dyDescent="0.35">
      <c r="A21" s="665"/>
      <c r="B21" s="2111"/>
      <c r="C21" s="2111"/>
      <c r="D21" s="2111"/>
      <c r="E21" s="2111"/>
      <c r="F21" s="2111"/>
      <c r="G21" s="2111"/>
      <c r="H21" s="2111"/>
      <c r="I21" s="2111"/>
      <c r="J21" s="2111"/>
    </row>
    <row r="22" spans="1:10" s="315" customFormat="1" x14ac:dyDescent="0.35">
      <c r="A22" s="665"/>
      <c r="B22" s="2111"/>
      <c r="C22" s="2111"/>
      <c r="D22" s="2111"/>
      <c r="E22" s="2111"/>
      <c r="F22" s="2111"/>
      <c r="G22" s="2111"/>
      <c r="H22" s="2111"/>
      <c r="I22" s="2111"/>
      <c r="J22" s="2111"/>
    </row>
    <row r="23" spans="1:10" s="665" customFormat="1" x14ac:dyDescent="0.35">
      <c r="B23" s="2111"/>
      <c r="C23" s="2111"/>
      <c r="D23" s="2111"/>
      <c r="E23" s="2111"/>
      <c r="F23" s="2111"/>
      <c r="G23" s="2111"/>
      <c r="H23" s="2111"/>
      <c r="I23" s="2111"/>
      <c r="J23" s="2111"/>
    </row>
    <row r="24" spans="1:10" s="315" customFormat="1" x14ac:dyDescent="0.35">
      <c r="A24" s="665"/>
      <c r="B24" s="2111"/>
      <c r="C24" s="2111"/>
      <c r="D24" s="2111"/>
      <c r="E24" s="2111"/>
      <c r="F24" s="2111"/>
      <c r="G24" s="2111"/>
      <c r="H24" s="2111"/>
      <c r="I24" s="2111"/>
      <c r="J24" s="2111"/>
    </row>
    <row r="25" spans="1:10" s="315" customFormat="1" x14ac:dyDescent="0.35">
      <c r="A25" s="665"/>
      <c r="B25" s="2111"/>
      <c r="C25" s="2111"/>
      <c r="D25" s="2111"/>
      <c r="E25" s="2111"/>
      <c r="F25" s="2111"/>
      <c r="G25" s="2111"/>
      <c r="H25" s="2111"/>
      <c r="I25" s="2111"/>
      <c r="J25" s="2111"/>
    </row>
    <row r="26" spans="1:10" s="315" customFormat="1" x14ac:dyDescent="0.35">
      <c r="A26" s="665"/>
      <c r="B26" s="2111"/>
      <c r="C26" s="2111"/>
      <c r="D26" s="2111"/>
      <c r="E26" s="2111"/>
      <c r="F26" s="2111"/>
      <c r="G26" s="2111"/>
      <c r="H26" s="2111"/>
      <c r="I26" s="2111"/>
      <c r="J26" s="2111"/>
    </row>
    <row r="27" spans="1:10" x14ac:dyDescent="0.35">
      <c r="B27" s="2111" t="str">
        <f>"Laporan Keuangan ini diharapkan dapat memberikan informasi yang berguna kepada para pengguna laporan khususnya sebagai sarana untuk meningkatkan akuntabilitas/ pertanggungjawaban "&amp;"dan transparansi pengelolaan keuangan negara pada "&amp;Input!$M$13&amp;".  Disamping itu, laporan keuangan ini juga dimaksudkan untuk memberikan informasi kepada manajemen dalam pengambilan keputusan dalam usaha untuk mewujudkan tata kelola pemerintahan yang baik (good governance). "</f>
        <v xml:space="preserve">Laporan Keuangan ini diharapkan dapat memberikan informasi yang berguna kepada para pengguna laporan khususnya sebagai sarana untuk meningkatkan akuntabilitas/ pertanggungjawaban dan transparansi pengelolaan keuangan negara pada BALAI PELESTARIAN NILAI BUDAYA BALI.  Disamping itu, laporan keuangan ini juga dimaksudkan untuk memberikan informasi kepada manajemen dalam pengambilan keputusan dalam usaha untuk mewujudkan tata kelola pemerintahan yang baik (good governance). </v>
      </c>
      <c r="C27" s="2111"/>
      <c r="D27" s="2111"/>
      <c r="E27" s="2111"/>
      <c r="F27" s="2111"/>
      <c r="G27" s="2111"/>
      <c r="H27" s="2111"/>
      <c r="I27" s="2111"/>
      <c r="J27" s="2111"/>
    </row>
    <row r="28" spans="1:10" s="315" customFormat="1" x14ac:dyDescent="0.35">
      <c r="A28" s="665"/>
      <c r="B28" s="2111"/>
      <c r="C28" s="2111"/>
      <c r="D28" s="2111"/>
      <c r="E28" s="2111"/>
      <c r="F28" s="2111"/>
      <c r="G28" s="2111"/>
      <c r="H28" s="2111"/>
      <c r="I28" s="2111"/>
      <c r="J28" s="2111"/>
    </row>
    <row r="29" spans="1:10" s="315" customFormat="1" x14ac:dyDescent="0.35">
      <c r="A29" s="665"/>
      <c r="B29" s="2111"/>
      <c r="C29" s="2111"/>
      <c r="D29" s="2111"/>
      <c r="E29" s="2111"/>
      <c r="F29" s="2111"/>
      <c r="G29" s="2111"/>
      <c r="H29" s="2111"/>
      <c r="I29" s="2111"/>
      <c r="J29" s="2111"/>
    </row>
    <row r="30" spans="1:10" s="665" customFormat="1" x14ac:dyDescent="0.35">
      <c r="B30" s="2111"/>
      <c r="C30" s="2111"/>
      <c r="D30" s="2111"/>
      <c r="E30" s="2111"/>
      <c r="F30" s="2111"/>
      <c r="G30" s="2111"/>
      <c r="H30" s="2111"/>
      <c r="I30" s="2111"/>
      <c r="J30" s="2111"/>
    </row>
    <row r="31" spans="1:10" s="315" customFormat="1" x14ac:dyDescent="0.35">
      <c r="A31" s="665"/>
      <c r="B31" s="2111"/>
      <c r="C31" s="2111"/>
      <c r="D31" s="2111"/>
      <c r="E31" s="2111"/>
      <c r="F31" s="2111"/>
      <c r="G31" s="2111"/>
      <c r="H31" s="2111"/>
      <c r="I31" s="2111"/>
      <c r="J31" s="2111"/>
    </row>
    <row r="32" spans="1:10" s="315" customFormat="1" x14ac:dyDescent="0.35">
      <c r="A32" s="665"/>
      <c r="B32" s="2111"/>
      <c r="C32" s="2111"/>
      <c r="D32" s="2111"/>
      <c r="E32" s="2111"/>
      <c r="F32" s="2111"/>
      <c r="G32" s="2111"/>
      <c r="H32" s="2111"/>
      <c r="I32" s="2111"/>
      <c r="J32" s="2111"/>
    </row>
    <row r="33" spans="1:10" s="315" customFormat="1" x14ac:dyDescent="0.35">
      <c r="A33" s="665"/>
      <c r="B33" s="2111"/>
      <c r="C33" s="2111"/>
      <c r="D33" s="2111"/>
      <c r="E33" s="2111"/>
      <c r="F33" s="2111"/>
      <c r="G33" s="2111"/>
      <c r="H33" s="2111"/>
      <c r="I33" s="2111"/>
      <c r="J33" s="2111"/>
    </row>
    <row r="34" spans="1:10" s="315" customFormat="1" x14ac:dyDescent="0.35">
      <c r="A34" s="665"/>
      <c r="B34" s="2111"/>
      <c r="C34" s="2111"/>
      <c r="D34" s="2111"/>
      <c r="E34" s="2111"/>
      <c r="F34" s="2111"/>
      <c r="G34" s="2111"/>
      <c r="H34" s="2111"/>
      <c r="I34" s="2111"/>
      <c r="J34" s="2111"/>
    </row>
    <row r="35" spans="1:10" s="315" customFormat="1" x14ac:dyDescent="0.35">
      <c r="A35" s="665"/>
      <c r="B35" s="670"/>
      <c r="C35" s="670"/>
      <c r="D35" s="670"/>
      <c r="E35" s="670"/>
      <c r="F35" s="670"/>
      <c r="G35" s="670"/>
      <c r="H35" s="670"/>
      <c r="I35" s="670"/>
      <c r="J35" s="670"/>
    </row>
    <row r="36" spans="1:10" x14ac:dyDescent="0.35">
      <c r="B36" s="671"/>
      <c r="C36" s="671"/>
      <c r="D36" s="671"/>
      <c r="E36" s="671"/>
      <c r="F36" s="671"/>
      <c r="G36" s="671"/>
      <c r="H36" s="671"/>
      <c r="I36" s="671"/>
      <c r="J36" s="671"/>
    </row>
    <row r="37" spans="1:10" x14ac:dyDescent="0.35">
      <c r="B37" s="671"/>
      <c r="C37" s="671"/>
      <c r="D37" s="671"/>
      <c r="E37" s="671"/>
      <c r="F37" s="671"/>
      <c r="G37" s="671"/>
      <c r="H37" s="671"/>
      <c r="I37" s="671"/>
      <c r="J37" s="671"/>
    </row>
    <row r="38" spans="1:10" x14ac:dyDescent="0.35">
      <c r="B38" s="671"/>
      <c r="C38" s="671"/>
      <c r="D38" s="671"/>
      <c r="E38" s="671"/>
      <c r="F38" s="671"/>
      <c r="G38" s="671"/>
      <c r="H38" s="671"/>
      <c r="I38" s="671"/>
      <c r="J38" s="671"/>
    </row>
    <row r="39" spans="1:10" ht="16.5" x14ac:dyDescent="0.35">
      <c r="B39" s="671"/>
      <c r="C39" s="671"/>
      <c r="D39" s="671"/>
      <c r="E39" s="671"/>
      <c r="F39" s="671"/>
      <c r="G39" s="1174" t="str">
        <f>Input!$L$20&amp;", "&amp;Input!$L$23</f>
        <v>Badung, 29 Januari 2019</v>
      </c>
      <c r="H39" s="671"/>
      <c r="I39" s="671"/>
      <c r="J39" s="671"/>
    </row>
    <row r="40" spans="1:10" ht="16.5" x14ac:dyDescent="0.35">
      <c r="B40" s="671"/>
      <c r="C40" s="671"/>
      <c r="D40" s="671"/>
      <c r="E40" s="671"/>
      <c r="F40" s="671"/>
      <c r="G40" s="1175" t="s">
        <v>158</v>
      </c>
      <c r="H40" s="671"/>
      <c r="I40" s="671"/>
      <c r="J40" s="671"/>
    </row>
    <row r="41" spans="1:10" ht="16.5" x14ac:dyDescent="0.35">
      <c r="B41" s="671"/>
      <c r="C41" s="671"/>
      <c r="D41" s="671"/>
      <c r="E41" s="671"/>
      <c r="F41" s="671"/>
      <c r="G41" s="1174"/>
      <c r="H41" s="671"/>
      <c r="I41" s="671"/>
      <c r="J41" s="671"/>
    </row>
    <row r="42" spans="1:10" ht="16.5" x14ac:dyDescent="0.35">
      <c r="B42" s="671"/>
      <c r="C42" s="671"/>
      <c r="D42" s="671"/>
      <c r="E42" s="671"/>
      <c r="F42" s="671"/>
      <c r="G42" s="1174"/>
      <c r="H42" s="671"/>
      <c r="I42" s="671"/>
      <c r="J42" s="671"/>
    </row>
    <row r="43" spans="1:10" ht="16.5" x14ac:dyDescent="0.35">
      <c r="B43" s="671"/>
      <c r="C43" s="671"/>
      <c r="D43" s="671"/>
      <c r="E43" s="671"/>
      <c r="F43" s="671"/>
      <c r="G43" s="1174"/>
      <c r="H43" s="671"/>
      <c r="I43" s="671"/>
      <c r="J43" s="671"/>
    </row>
    <row r="44" spans="1:10" ht="16.5" x14ac:dyDescent="0.35">
      <c r="B44" s="671"/>
      <c r="C44" s="671"/>
      <c r="D44" s="671"/>
      <c r="E44" s="671"/>
      <c r="F44" s="671"/>
      <c r="G44" s="1175" t="str">
        <f>(Input!$L$21)</f>
        <v>I Made Dharma Suteja,S.S.,M.Si</v>
      </c>
      <c r="H44" s="671"/>
      <c r="I44" s="671"/>
      <c r="J44" s="671"/>
    </row>
    <row r="45" spans="1:10" ht="16.5" x14ac:dyDescent="0.35">
      <c r="B45" s="671"/>
      <c r="C45" s="671"/>
      <c r="D45" s="671"/>
      <c r="E45" s="671"/>
      <c r="F45" s="671"/>
      <c r="G45" s="1175" t="str">
        <f>"NIP"&amp;". "&amp;Input!$L$22</f>
        <v>NIP. 197106161997031001</v>
      </c>
      <c r="H45" s="671"/>
      <c r="I45" s="671"/>
      <c r="J45" s="671"/>
    </row>
    <row r="46" spans="1:10" x14ac:dyDescent="0.35">
      <c r="B46" s="671"/>
      <c r="C46" s="671"/>
      <c r="D46" s="671"/>
      <c r="E46" s="671"/>
      <c r="F46" s="671"/>
      <c r="G46" s="671"/>
      <c r="H46" s="671"/>
      <c r="I46" s="671"/>
      <c r="J46" s="671"/>
    </row>
    <row r="47" spans="1:10" s="260" customFormat="1" x14ac:dyDescent="0.35">
      <c r="A47" s="665"/>
      <c r="B47" s="671"/>
      <c r="C47" s="671"/>
      <c r="D47" s="671"/>
      <c r="E47" s="671"/>
      <c r="F47" s="671"/>
      <c r="G47" s="671"/>
      <c r="H47" s="671"/>
      <c r="I47" s="671"/>
      <c r="J47" s="671"/>
    </row>
  </sheetData>
  <customSheetViews>
    <customSheetView guid="{EBF27D8D-2DD9-43E5-8C42-19F0B73014F5}" showPageBreaks="1" view="pageBreakPreview" topLeftCell="A2">
      <selection activeCell="A12" sqref="A12:I17"/>
      <pageMargins left="0.59055118110236227" right="0.62992125984251968" top="0.62992125984251968" bottom="0.59055118110236227" header="0.31496062992125984" footer="0.31496062992125984"/>
      <pageSetup paperSize="9" orientation="portrait" r:id="rId1"/>
      <headerFooter>
        <oddFooter>&amp;R&amp;"Calibri,Bold Italic"&amp;K0070C0i</oddFooter>
      </headerFooter>
    </customSheetView>
  </customSheetViews>
  <mergeCells count="6">
    <mergeCell ref="B27:J34"/>
    <mergeCell ref="B1:J1"/>
    <mergeCell ref="B3:J4"/>
    <mergeCell ref="B7:J11"/>
    <mergeCell ref="B12:J18"/>
    <mergeCell ref="B20:J26"/>
  </mergeCells>
  <printOptions horizontalCentered="1"/>
  <pageMargins left="0.31496062992125984" right="0.23622047244094491" top="0.74803149606299213" bottom="0.86614173228346458" header="0.31496062992125984" footer="0.31496062992125984"/>
  <pageSetup paperSize="9" scale="99" fitToHeight="0" orientation="portrait" r:id="rId2"/>
  <headerFooter>
    <oddFooter>&amp;C&amp;"+,Bold Italic"&amp;K000099i</oddFooter>
  </headerFooter>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D35"/>
  <sheetViews>
    <sheetView view="pageBreakPreview" zoomScaleSheetLayoutView="100" workbookViewId="0">
      <selection sqref="A1:D1"/>
    </sheetView>
  </sheetViews>
  <sheetFormatPr defaultColWidth="10" defaultRowHeight="15.5" x14ac:dyDescent="0.35"/>
  <cols>
    <col min="1" max="1" width="3.08203125" style="545" customWidth="1"/>
    <col min="2" max="2" width="3" style="545" customWidth="1"/>
    <col min="3" max="3" width="65.25" style="545" customWidth="1"/>
    <col min="4" max="16384" width="10" style="545"/>
  </cols>
  <sheetData>
    <row r="1" spans="1:4" x14ac:dyDescent="0.35">
      <c r="A1" s="2114" t="str">
        <f>'2 kata'!B1</f>
        <v>Laporan Keuangan Balai Pelestarian Nilai Budaya Bali Untuk Periode yang Berakhir 31 Desember 2019</v>
      </c>
      <c r="B1" s="2114"/>
      <c r="C1" s="2114"/>
      <c r="D1" s="2114"/>
    </row>
    <row r="3" spans="1:4" ht="9.75" customHeight="1" x14ac:dyDescent="0.35">
      <c r="A3" s="2113" t="s">
        <v>0</v>
      </c>
      <c r="B3" s="2113"/>
      <c r="C3" s="2113"/>
      <c r="D3" s="2113"/>
    </row>
    <row r="4" spans="1:4" ht="9.75" customHeight="1" x14ac:dyDescent="0.35">
      <c r="A4" s="2113"/>
      <c r="B4" s="2113"/>
      <c r="C4" s="2113"/>
      <c r="D4" s="2113"/>
    </row>
    <row r="5" spans="1:4" ht="24" customHeight="1" x14ac:dyDescent="0.35">
      <c r="A5" s="672"/>
      <c r="B5" s="672"/>
      <c r="C5" s="672"/>
      <c r="D5" s="673" t="s">
        <v>160</v>
      </c>
    </row>
    <row r="6" spans="1:4" ht="24" customHeight="1" x14ac:dyDescent="0.35">
      <c r="A6" s="672" t="s">
        <v>161</v>
      </c>
      <c r="B6" s="672"/>
      <c r="C6" s="672"/>
      <c r="D6" s="673" t="s">
        <v>1129</v>
      </c>
    </row>
    <row r="7" spans="1:4" ht="24" customHeight="1" x14ac:dyDescent="0.35">
      <c r="A7" s="672" t="s">
        <v>1211</v>
      </c>
      <c r="B7" s="672"/>
      <c r="C7" s="672"/>
      <c r="D7" s="673" t="s">
        <v>1214</v>
      </c>
    </row>
    <row r="8" spans="1:4" ht="24" customHeight="1" x14ac:dyDescent="0.35">
      <c r="A8" s="672" t="s">
        <v>2101</v>
      </c>
      <c r="B8" s="672"/>
      <c r="C8" s="672"/>
      <c r="D8" s="673" t="s">
        <v>1215</v>
      </c>
    </row>
    <row r="9" spans="1:4" ht="24" customHeight="1" x14ac:dyDescent="0.35">
      <c r="A9" s="672" t="s">
        <v>159</v>
      </c>
      <c r="B9" s="672"/>
      <c r="C9" s="672"/>
      <c r="D9" s="673" t="s">
        <v>2102</v>
      </c>
    </row>
    <row r="10" spans="1:4" ht="24" customHeight="1" x14ac:dyDescent="0.35">
      <c r="A10" s="672" t="s">
        <v>2330</v>
      </c>
      <c r="B10" s="672"/>
      <c r="C10" s="672"/>
      <c r="D10" s="673">
        <v>1</v>
      </c>
    </row>
    <row r="11" spans="1:4" ht="24" customHeight="1" x14ac:dyDescent="0.35">
      <c r="A11" s="674" t="s">
        <v>1853</v>
      </c>
      <c r="B11" s="672" t="s">
        <v>1858</v>
      </c>
      <c r="C11" s="672"/>
      <c r="D11" s="673">
        <v>3</v>
      </c>
    </row>
    <row r="12" spans="1:4" ht="24" customHeight="1" x14ac:dyDescent="0.35">
      <c r="A12" s="674" t="s">
        <v>1854</v>
      </c>
      <c r="B12" s="672" t="s">
        <v>1859</v>
      </c>
      <c r="C12" s="672"/>
      <c r="D12" s="675">
        <v>4</v>
      </c>
    </row>
    <row r="13" spans="1:4" ht="24" customHeight="1" x14ac:dyDescent="0.35">
      <c r="A13" s="674" t="s">
        <v>1855</v>
      </c>
      <c r="B13" s="672" t="s">
        <v>1860</v>
      </c>
      <c r="C13" s="672"/>
      <c r="D13" s="675">
        <v>6</v>
      </c>
    </row>
    <row r="14" spans="1:4" ht="24" customHeight="1" x14ac:dyDescent="0.35">
      <c r="A14" s="674" t="s">
        <v>1856</v>
      </c>
      <c r="B14" s="672" t="s">
        <v>1861</v>
      </c>
      <c r="C14" s="672"/>
      <c r="D14" s="675">
        <v>8</v>
      </c>
    </row>
    <row r="15" spans="1:4" ht="24" customHeight="1" x14ac:dyDescent="0.35">
      <c r="A15" s="674" t="s">
        <v>1857</v>
      </c>
      <c r="B15" s="672" t="s">
        <v>1862</v>
      </c>
      <c r="C15" s="672"/>
      <c r="D15" s="675">
        <v>9</v>
      </c>
    </row>
    <row r="16" spans="1:4" ht="24" customHeight="1" x14ac:dyDescent="0.35">
      <c r="A16" s="672" t="s">
        <v>1</v>
      </c>
      <c r="B16" s="674" t="s">
        <v>1864</v>
      </c>
      <c r="C16" s="672" t="s">
        <v>1870</v>
      </c>
      <c r="D16" s="675">
        <v>9</v>
      </c>
    </row>
    <row r="17" spans="1:4" ht="24" customHeight="1" x14ac:dyDescent="0.35">
      <c r="A17" s="672" t="s">
        <v>2</v>
      </c>
      <c r="B17" s="674" t="s">
        <v>1865</v>
      </c>
      <c r="C17" s="672" t="s">
        <v>1871</v>
      </c>
      <c r="D17" s="675">
        <v>17</v>
      </c>
    </row>
    <row r="18" spans="1:4" ht="24" customHeight="1" x14ac:dyDescent="0.35">
      <c r="A18" s="672" t="s">
        <v>3</v>
      </c>
      <c r="B18" s="674" t="s">
        <v>1866</v>
      </c>
      <c r="C18" s="672" t="s">
        <v>1872</v>
      </c>
      <c r="D18" s="675">
        <v>25</v>
      </c>
    </row>
    <row r="19" spans="1:4" ht="24" customHeight="1" x14ac:dyDescent="0.35">
      <c r="A19" s="672" t="s">
        <v>1213</v>
      </c>
      <c r="B19" s="674" t="s">
        <v>1867</v>
      </c>
      <c r="C19" s="672" t="s">
        <v>1873</v>
      </c>
      <c r="D19" s="675">
        <v>36</v>
      </c>
    </row>
    <row r="20" spans="1:4" ht="24" customHeight="1" x14ac:dyDescent="0.35">
      <c r="A20" s="672" t="s">
        <v>1212</v>
      </c>
      <c r="B20" s="674" t="s">
        <v>1868</v>
      </c>
      <c r="C20" s="672" t="s">
        <v>1874</v>
      </c>
      <c r="D20" s="675">
        <v>41</v>
      </c>
    </row>
    <row r="21" spans="1:4" ht="24" customHeight="1" x14ac:dyDescent="0.35">
      <c r="A21" s="672" t="s">
        <v>1283</v>
      </c>
      <c r="B21" s="674" t="s">
        <v>1869</v>
      </c>
      <c r="C21" s="672" t="s">
        <v>1875</v>
      </c>
      <c r="D21" s="675">
        <v>44</v>
      </c>
    </row>
    <row r="22" spans="1:4" ht="23.25" customHeight="1" x14ac:dyDescent="0.35">
      <c r="A22" s="674" t="s">
        <v>1863</v>
      </c>
      <c r="B22" s="672" t="s">
        <v>2199</v>
      </c>
      <c r="C22" s="672"/>
      <c r="D22" s="675">
        <v>45</v>
      </c>
    </row>
    <row r="23" spans="1:4" ht="23.25" customHeight="1" x14ac:dyDescent="0.35">
      <c r="A23" s="1421"/>
      <c r="B23" s="1424"/>
      <c r="C23" s="1424"/>
      <c r="D23" s="1422"/>
    </row>
    <row r="24" spans="1:4" ht="23.25" customHeight="1" x14ac:dyDescent="0.35">
      <c r="A24" s="1421"/>
      <c r="B24" s="1424"/>
      <c r="C24" s="1424"/>
      <c r="D24" s="1422"/>
    </row>
    <row r="25" spans="1:4" ht="23.25" customHeight="1" x14ac:dyDescent="0.35">
      <c r="A25" s="1421"/>
      <c r="B25" s="1424"/>
      <c r="C25" s="1424"/>
      <c r="D25" s="1422"/>
    </row>
    <row r="26" spans="1:4" ht="72.75" customHeight="1" x14ac:dyDescent="0.35">
      <c r="A26" s="1421"/>
      <c r="B26" s="1426"/>
      <c r="C26" s="1425"/>
      <c r="D26" s="1422"/>
    </row>
    <row r="27" spans="1:4" ht="23.25" customHeight="1" x14ac:dyDescent="0.35">
      <c r="A27" s="1421"/>
      <c r="B27" s="1424"/>
      <c r="C27" s="1424"/>
      <c r="D27" s="1422"/>
    </row>
    <row r="28" spans="1:4" ht="23.25" customHeight="1" x14ac:dyDescent="0.35">
      <c r="A28" s="1421"/>
      <c r="B28" s="1424"/>
      <c r="C28" s="1424"/>
      <c r="D28" s="1422"/>
    </row>
    <row r="29" spans="1:4" ht="23.25" customHeight="1" x14ac:dyDescent="0.35">
      <c r="A29" s="1421"/>
      <c r="B29" s="1424"/>
      <c r="C29" s="1424"/>
      <c r="D29" s="1423"/>
    </row>
    <row r="30" spans="1:4" x14ac:dyDescent="0.35">
      <c r="A30" s="1421"/>
      <c r="B30" s="1421"/>
      <c r="C30" s="1421"/>
      <c r="D30" s="1423"/>
    </row>
    <row r="31" spans="1:4" x14ac:dyDescent="0.35">
      <c r="A31" s="1421"/>
      <c r="B31" s="1421"/>
      <c r="C31" s="1421"/>
      <c r="D31" s="1423"/>
    </row>
    <row r="32" spans="1:4" x14ac:dyDescent="0.35">
      <c r="A32" s="1421"/>
      <c r="B32" s="1421"/>
      <c r="C32" s="1421"/>
      <c r="D32" s="1423"/>
    </row>
    <row r="33" spans="1:4" x14ac:dyDescent="0.35">
      <c r="A33" s="1421"/>
      <c r="B33" s="1421"/>
      <c r="C33" s="1421"/>
      <c r="D33" s="1423"/>
    </row>
    <row r="34" spans="1:4" x14ac:dyDescent="0.35">
      <c r="A34" s="1421"/>
      <c r="B34" s="1421"/>
      <c r="C34" s="1421"/>
      <c r="D34" s="1423"/>
    </row>
    <row r="35" spans="1:4" x14ac:dyDescent="0.35">
      <c r="A35" s="1421"/>
      <c r="B35" s="1421"/>
      <c r="C35" s="1421"/>
      <c r="D35" s="1423"/>
    </row>
  </sheetData>
  <customSheetViews>
    <customSheetView guid="{EBF27D8D-2DD9-43E5-8C42-19F0B73014F5}" showPageBreaks="1" view="pageBreakPreview" topLeftCell="A8">
      <selection activeCell="A17" sqref="A17"/>
      <pageMargins left="0.70866141732283472" right="0.70866141732283472" top="0.62992125984251968" bottom="0.59055118110236227" header="0.31496062992125984" footer="0.31496062992125984"/>
      <pageSetup paperSize="9" orientation="portrait" horizontalDpi="4294967294" r:id="rId1"/>
      <headerFooter>
        <oddFooter>&amp;L&amp;"Calibri,Bold Italic"&amp;U&amp;K0070C0Daftar Isi&amp;R&amp;"Calibri,Bold Italic"&amp;K0070C0ii</oddFooter>
      </headerFooter>
    </customSheetView>
  </customSheetViews>
  <mergeCells count="2">
    <mergeCell ref="A3:D4"/>
    <mergeCell ref="A1:D1"/>
  </mergeCells>
  <printOptions horizontalCentered="1"/>
  <pageMargins left="0.31496062992125984" right="0.23622047244094491" top="0.74803149606299213" bottom="0.86614173228346458" header="0.31496062992125984" footer="0.31496062992125984"/>
  <pageSetup paperSize="9" scale="92" orientation="portrait" horizontalDpi="4294967294" r:id="rId2"/>
  <headerFooter>
    <oddFooter>&amp;C&amp;"+,Bold Italic"&amp;K000099ii</oddFooter>
  </headerFooter>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62"/>
  <sheetViews>
    <sheetView view="pageBreakPreview" topLeftCell="A34" zoomScaleNormal="100" zoomScaleSheetLayoutView="100" workbookViewId="0">
      <selection sqref="A1:D1"/>
    </sheetView>
  </sheetViews>
  <sheetFormatPr defaultRowHeight="15.5" x14ac:dyDescent="0.35"/>
  <cols>
    <col min="1" max="1" width="8.25" customWidth="1"/>
    <col min="2" max="2" width="1.83203125" bestFit="1" customWidth="1"/>
    <col min="3" max="3" width="66.08203125" customWidth="1"/>
    <col min="4" max="4" width="5.33203125" customWidth="1"/>
  </cols>
  <sheetData>
    <row r="1" spans="1:6" s="303" customFormat="1" x14ac:dyDescent="0.35">
      <c r="A1" s="2117" t="str">
        <f>'2 kata'!B1</f>
        <v>Laporan Keuangan Balai Pelestarian Nilai Budaya Bali Untuk Periode yang Berakhir 31 Desember 2019</v>
      </c>
      <c r="B1" s="2117"/>
      <c r="C1" s="2117"/>
      <c r="D1" s="2117"/>
    </row>
    <row r="2" spans="1:6" ht="11.25" customHeight="1" x14ac:dyDescent="0.35"/>
    <row r="3" spans="1:6" ht="11.25" customHeight="1" x14ac:dyDescent="0.35">
      <c r="A3" s="2116" t="s">
        <v>4</v>
      </c>
      <c r="B3" s="2116"/>
      <c r="C3" s="2116"/>
      <c r="D3" s="2116"/>
    </row>
    <row r="4" spans="1:6" s="258" customFormat="1" ht="11.25" customHeight="1" x14ac:dyDescent="0.35">
      <c r="A4" s="2116"/>
      <c r="B4" s="2116"/>
      <c r="C4" s="2116"/>
      <c r="D4" s="2116"/>
    </row>
    <row r="5" spans="1:6" ht="9.75" customHeight="1" x14ac:dyDescent="0.35"/>
    <row r="6" spans="1:6" x14ac:dyDescent="0.35">
      <c r="A6" s="2115" t="s">
        <v>5</v>
      </c>
      <c r="B6" s="2115"/>
      <c r="C6" s="2115"/>
      <c r="D6" s="2115"/>
    </row>
    <row r="7" spans="1:6" ht="9.75" customHeight="1" x14ac:dyDescent="0.35">
      <c r="A7" t="s">
        <v>6</v>
      </c>
    </row>
    <row r="8" spans="1:6" x14ac:dyDescent="0.35">
      <c r="A8" s="1" t="s">
        <v>7</v>
      </c>
      <c r="B8" s="1" t="s">
        <v>8</v>
      </c>
      <c r="C8" s="1299" t="str">
        <f>"Laporan Realisasi Anggaran "&amp;Input!$M$24&amp;" dan "&amp;Input!$M$25</f>
        <v>Laporan Realisasi Anggaran 31 Desember 2019 dan 31 Desember 2018</v>
      </c>
      <c r="D8" s="268">
        <v>3</v>
      </c>
      <c r="F8" s="1"/>
    </row>
    <row r="9" spans="1:6" x14ac:dyDescent="0.35">
      <c r="A9" s="1" t="s">
        <v>9</v>
      </c>
      <c r="B9" s="1" t="s">
        <v>8</v>
      </c>
      <c r="C9" s="1" t="str">
        <f>"Neraca "&amp;Input!$M$24&amp;" dan "&amp;Input!$M$25</f>
        <v>Neraca 31 Desember 2019 dan 31 Desember 2018</v>
      </c>
      <c r="D9" s="271">
        <v>4</v>
      </c>
      <c r="F9" s="1"/>
    </row>
    <row r="10" spans="1:6" x14ac:dyDescent="0.35">
      <c r="A10" s="1" t="s">
        <v>10</v>
      </c>
      <c r="B10" s="1" t="s">
        <v>8</v>
      </c>
      <c r="C10" s="1" t="s">
        <v>1860</v>
      </c>
      <c r="D10" s="271">
        <v>6</v>
      </c>
    </row>
    <row r="11" spans="1:6" s="306" customFormat="1" x14ac:dyDescent="0.35">
      <c r="A11" s="1" t="s">
        <v>11</v>
      </c>
      <c r="B11" s="1" t="s">
        <v>8</v>
      </c>
      <c r="C11" s="1" t="s">
        <v>1861</v>
      </c>
      <c r="D11" s="271">
        <v>8</v>
      </c>
    </row>
    <row r="12" spans="1:6" x14ac:dyDescent="0.35">
      <c r="A12" s="1" t="s">
        <v>12</v>
      </c>
      <c r="B12" s="1" t="s">
        <v>8</v>
      </c>
      <c r="C12" s="1407" t="s">
        <v>2276</v>
      </c>
      <c r="D12" s="271">
        <v>17</v>
      </c>
      <c r="F12" s="1"/>
    </row>
    <row r="13" spans="1:6" ht="15.75" customHeight="1" x14ac:dyDescent="0.35">
      <c r="A13" s="1" t="s">
        <v>13</v>
      </c>
      <c r="B13" s="1" t="s">
        <v>8</v>
      </c>
      <c r="C13" s="1" t="s">
        <v>1971</v>
      </c>
      <c r="D13" s="271">
        <v>17</v>
      </c>
      <c r="F13" s="1"/>
    </row>
    <row r="14" spans="1:6" x14ac:dyDescent="0.35">
      <c r="A14" s="1" t="s">
        <v>14</v>
      </c>
      <c r="B14" s="1" t="s">
        <v>8</v>
      </c>
      <c r="C14" s="1" t="str">
        <f>"Perbandingan Realisasi Pendapatan "&amp;Input!$M$24&amp;" dan "&amp;Input!$M$25</f>
        <v>Perbandingan Realisasi Pendapatan 31 Desember 2019 dan 31 Desember 2018</v>
      </c>
      <c r="D14" s="271">
        <v>18</v>
      </c>
      <c r="F14" s="1"/>
    </row>
    <row r="15" spans="1:6" x14ac:dyDescent="0.35">
      <c r="A15" s="1" t="s">
        <v>15</v>
      </c>
      <c r="B15" s="1" t="s">
        <v>8</v>
      </c>
      <c r="C15" s="1" t="str">
        <f>"Rincian Anggaran dan Realisasi Belanja "&amp;Input!$M$24</f>
        <v>Rincian Anggaran dan Realisasi Belanja 31 Desember 2019</v>
      </c>
      <c r="D15" s="271">
        <v>18</v>
      </c>
      <c r="F15" s="1"/>
    </row>
    <row r="16" spans="1:6" x14ac:dyDescent="0.35">
      <c r="A16" s="1" t="s">
        <v>16</v>
      </c>
      <c r="B16" s="1" t="s">
        <v>8</v>
      </c>
      <c r="C16" s="1" t="str">
        <f>"Perbandingan Realisasi Belanja "&amp;Input!$M$24&amp;" dan "&amp;Input!$M$25</f>
        <v>Perbandingan Realisasi Belanja 31 Desember 2019 dan 31 Desember 2018</v>
      </c>
      <c r="D16" s="271">
        <v>19</v>
      </c>
      <c r="F16" s="1"/>
    </row>
    <row r="17" spans="1:6" ht="15.75" customHeight="1" x14ac:dyDescent="0.35">
      <c r="A17" s="1" t="s">
        <v>17</v>
      </c>
      <c r="B17" s="1" t="s">
        <v>8</v>
      </c>
      <c r="C17" s="1" t="str">
        <f>"Perbandingan Belanja Pegawai "&amp;Input!$M$24&amp;" dan "&amp;Input!$M$25</f>
        <v>Perbandingan Belanja Pegawai 31 Desember 2019 dan 31 Desember 2018</v>
      </c>
      <c r="D17" s="271">
        <v>20</v>
      </c>
      <c r="F17" s="1"/>
    </row>
    <row r="18" spans="1:6" ht="15.75" customHeight="1" x14ac:dyDescent="0.35">
      <c r="A18" s="1" t="s">
        <v>18</v>
      </c>
      <c r="B18" s="1" t="s">
        <v>8</v>
      </c>
      <c r="C18" s="1" t="str">
        <f>"Perbandingan Belanja Barang "&amp;Input!$M$24&amp;" dan "&amp;Input!$M$25</f>
        <v>Perbandingan Belanja Barang 31 Desember 2019 dan 31 Desember 2018</v>
      </c>
      <c r="D18" s="271">
        <v>21</v>
      </c>
      <c r="F18" s="1"/>
    </row>
    <row r="19" spans="1:6" s="468" customFormat="1" ht="17.25" customHeight="1" x14ac:dyDescent="0.35">
      <c r="A19" s="1298" t="s">
        <v>20</v>
      </c>
      <c r="B19" s="1298" t="s">
        <v>8</v>
      </c>
      <c r="C19" s="1" t="str">
        <f>"Perbandingan Belanja Modal "&amp;Input!$M$24&amp;" dan "&amp;Input!$M$25</f>
        <v>Perbandingan Belanja Modal 31 Desember 2019 dan 31 Desember 2018</v>
      </c>
      <c r="D19" s="271">
        <v>21</v>
      </c>
      <c r="F19" s="1298"/>
    </row>
    <row r="20" spans="1:6" s="468" customFormat="1" ht="31" x14ac:dyDescent="0.35">
      <c r="A20" s="1298" t="s">
        <v>22</v>
      </c>
      <c r="B20" s="1298" t="s">
        <v>8</v>
      </c>
      <c r="C20" s="1298" t="str">
        <f>"Perbandingan Belanja Modal Tanah "&amp;Input!$M$24&amp;" dan "&amp;Input!$M$25</f>
        <v>Perbandingan Belanja Modal Tanah 31 Desember 2019 dan 31 Desember 2018</v>
      </c>
      <c r="D20" s="270">
        <v>22</v>
      </c>
      <c r="F20" s="1298"/>
    </row>
    <row r="21" spans="1:6" s="468" customFormat="1" ht="31" x14ac:dyDescent="0.35">
      <c r="A21" s="1298" t="s">
        <v>24</v>
      </c>
      <c r="B21" s="1298" t="s">
        <v>8</v>
      </c>
      <c r="C21" s="1298" t="str">
        <f>"Perbandingan Belanja Modal Peralatan dan Mesin "&amp;Input!$M$24&amp;" dan "&amp;Input!$M$25</f>
        <v>Perbandingan Belanja Modal Peralatan dan Mesin 31 Desember 2019 dan 31 Desember 2018</v>
      </c>
      <c r="D21" s="270">
        <v>22</v>
      </c>
      <c r="F21" s="1298"/>
    </row>
    <row r="22" spans="1:6" s="468" customFormat="1" ht="33" customHeight="1" x14ac:dyDescent="0.35">
      <c r="A22" s="1298" t="s">
        <v>26</v>
      </c>
      <c r="B22" s="1298" t="s">
        <v>8</v>
      </c>
      <c r="C22" s="1298" t="str">
        <f>"Perbandingan Belanja Modal Gedung dan Bangunan "&amp;Input!$M$24&amp;" dan "&amp;Input!$M$25</f>
        <v>Perbandingan Belanja Modal Gedung dan Bangunan 31 Desember 2019 dan 31 Desember 2018</v>
      </c>
      <c r="D22" s="270">
        <v>22</v>
      </c>
      <c r="F22" s="1298"/>
    </row>
    <row r="23" spans="1:6" s="468" customFormat="1" ht="31" x14ac:dyDescent="0.35">
      <c r="A23" s="1298" t="s">
        <v>27</v>
      </c>
      <c r="B23" s="1298" t="s">
        <v>8</v>
      </c>
      <c r="C23" s="1298" t="str">
        <f>"Perbandingan Belanja Modal Jalan, Irigasi, dan Jaringan "&amp;Input!$M$24&amp;" dan "&amp;Input!$M$25</f>
        <v>Perbandingan Belanja Modal Jalan, Irigasi, dan Jaringan 31 Desember 2019 dan 31 Desember 2018</v>
      </c>
      <c r="D23" s="270">
        <v>23</v>
      </c>
      <c r="F23" s="1298"/>
    </row>
    <row r="24" spans="1:6" s="266" customFormat="1" ht="31" x14ac:dyDescent="0.35">
      <c r="A24" s="1" t="s">
        <v>28</v>
      </c>
      <c r="B24" s="1" t="s">
        <v>8</v>
      </c>
      <c r="C24" s="1298" t="str">
        <f>"Perbandingan Belanja Modal Lainnya "&amp;Input!$M$24&amp;" dan "&amp;Input!$M$25</f>
        <v>Perbandingan Belanja Modal Lainnya 31 Desember 2019 dan 31 Desember 2018</v>
      </c>
      <c r="D24" s="270">
        <v>23</v>
      </c>
      <c r="F24" s="1"/>
    </row>
    <row r="25" spans="1:6" ht="31" x14ac:dyDescent="0.35">
      <c r="A25" s="1" t="s">
        <v>29</v>
      </c>
      <c r="B25" s="1" t="s">
        <v>8</v>
      </c>
      <c r="C25" s="1" t="str">
        <f>"Perbandingan Belanja Bantuan Sosial "&amp;Input!$M$24&amp;" dan "&amp;Input!$M$25</f>
        <v>Perbandingan Belanja Bantuan Sosial 31 Desember 2019 dan 31 Desember 2018</v>
      </c>
      <c r="D25" s="270">
        <v>24</v>
      </c>
    </row>
    <row r="26" spans="1:6" x14ac:dyDescent="0.35">
      <c r="A26" s="1" t="s">
        <v>30</v>
      </c>
      <c r="B26" s="1" t="s">
        <v>8</v>
      </c>
      <c r="C26" s="1" t="s">
        <v>19</v>
      </c>
      <c r="D26" s="271">
        <v>25</v>
      </c>
    </row>
    <row r="27" spans="1:6" x14ac:dyDescent="0.35">
      <c r="A27" s="1" t="s">
        <v>31</v>
      </c>
      <c r="B27" s="1" t="s">
        <v>8</v>
      </c>
      <c r="C27" s="1" t="s">
        <v>21</v>
      </c>
      <c r="D27" s="271">
        <v>25</v>
      </c>
    </row>
    <row r="28" spans="1:6" x14ac:dyDescent="0.35">
      <c r="A28" s="1" t="s">
        <v>33</v>
      </c>
      <c r="B28" s="1" t="s">
        <v>8</v>
      </c>
      <c r="C28" s="1" t="s">
        <v>23</v>
      </c>
      <c r="D28" s="271">
        <v>26</v>
      </c>
    </row>
    <row r="29" spans="1:6" s="468" customFormat="1" x14ac:dyDescent="0.35">
      <c r="A29" s="1298" t="s">
        <v>34</v>
      </c>
      <c r="B29" s="1298" t="s">
        <v>8</v>
      </c>
      <c r="C29" s="1" t="s">
        <v>25</v>
      </c>
      <c r="D29" s="271">
        <v>26</v>
      </c>
    </row>
    <row r="30" spans="1:6" s="468" customFormat="1" x14ac:dyDescent="0.35">
      <c r="A30" s="1298" t="s">
        <v>35</v>
      </c>
      <c r="B30" s="1298" t="s">
        <v>8</v>
      </c>
      <c r="C30" s="1298" t="s">
        <v>1756</v>
      </c>
      <c r="D30" s="271">
        <v>26</v>
      </c>
    </row>
    <row r="31" spans="1:6" s="468" customFormat="1" x14ac:dyDescent="0.35">
      <c r="A31" s="1298" t="s">
        <v>36</v>
      </c>
      <c r="B31" s="1298" t="s">
        <v>8</v>
      </c>
      <c r="C31" s="1298" t="s">
        <v>1758</v>
      </c>
      <c r="D31" s="271">
        <v>26</v>
      </c>
    </row>
    <row r="32" spans="1:6" s="468" customFormat="1" x14ac:dyDescent="0.35">
      <c r="A32" s="1298" t="s">
        <v>37</v>
      </c>
      <c r="B32" s="1298" t="s">
        <v>8</v>
      </c>
      <c r="C32" s="1298" t="s">
        <v>2103</v>
      </c>
      <c r="D32" s="271">
        <v>27</v>
      </c>
    </row>
    <row r="33" spans="1:6" s="468" customFormat="1" x14ac:dyDescent="0.35">
      <c r="A33" s="1298" t="s">
        <v>38</v>
      </c>
      <c r="B33" s="1298" t="s">
        <v>8</v>
      </c>
      <c r="C33" s="1298" t="s">
        <v>2104</v>
      </c>
      <c r="D33" s="271">
        <v>27</v>
      </c>
    </row>
    <row r="34" spans="1:6" x14ac:dyDescent="0.35">
      <c r="A34" s="1" t="s">
        <v>39</v>
      </c>
      <c r="B34" s="1" t="s">
        <v>8</v>
      </c>
      <c r="C34" s="1298" t="s">
        <v>1987</v>
      </c>
      <c r="D34" s="271">
        <v>28</v>
      </c>
    </row>
    <row r="35" spans="1:6" s="468" customFormat="1" x14ac:dyDescent="0.35">
      <c r="A35" s="1298" t="s">
        <v>40</v>
      </c>
      <c r="B35" s="1298" t="s">
        <v>8</v>
      </c>
      <c r="C35" s="1" t="s">
        <v>32</v>
      </c>
      <c r="D35" s="271">
        <v>28</v>
      </c>
    </row>
    <row r="36" spans="1:6" s="468" customFormat="1" x14ac:dyDescent="0.35">
      <c r="A36" s="1298" t="s">
        <v>42</v>
      </c>
      <c r="B36" s="1298" t="s">
        <v>8</v>
      </c>
      <c r="C36" s="1298" t="s">
        <v>1766</v>
      </c>
      <c r="D36" s="271">
        <v>28</v>
      </c>
    </row>
    <row r="37" spans="1:6" s="468" customFormat="1" x14ac:dyDescent="0.35">
      <c r="A37" s="1298" t="s">
        <v>1134</v>
      </c>
      <c r="B37" s="1298" t="s">
        <v>8</v>
      </c>
      <c r="C37" s="1298" t="s">
        <v>1767</v>
      </c>
      <c r="D37" s="271">
        <v>29</v>
      </c>
    </row>
    <row r="38" spans="1:6" x14ac:dyDescent="0.35">
      <c r="A38" s="1" t="s">
        <v>1205</v>
      </c>
      <c r="B38" s="1" t="s">
        <v>8</v>
      </c>
      <c r="C38" s="1298" t="s">
        <v>2105</v>
      </c>
      <c r="D38" s="271">
        <v>29</v>
      </c>
    </row>
    <row r="39" spans="1:6" s="468" customFormat="1" x14ac:dyDescent="0.35">
      <c r="A39" s="1298" t="s">
        <v>2106</v>
      </c>
      <c r="B39" s="1298" t="s">
        <v>8</v>
      </c>
      <c r="C39" s="1" t="s">
        <v>1772</v>
      </c>
      <c r="D39" s="271">
        <v>30</v>
      </c>
    </row>
    <row r="40" spans="1:6" s="468" customFormat="1" x14ac:dyDescent="0.35">
      <c r="A40" s="1298" t="s">
        <v>2107</v>
      </c>
      <c r="B40" s="1298" t="s">
        <v>8</v>
      </c>
      <c r="C40" s="1298" t="s">
        <v>1778</v>
      </c>
      <c r="D40" s="271">
        <v>33</v>
      </c>
    </row>
    <row r="41" spans="1:6" s="468" customFormat="1" x14ac:dyDescent="0.35">
      <c r="A41" s="1298" t="s">
        <v>2108</v>
      </c>
      <c r="B41" s="1298" t="s">
        <v>8</v>
      </c>
      <c r="C41" s="1298" t="s">
        <v>41</v>
      </c>
      <c r="D41" s="271">
        <v>33</v>
      </c>
    </row>
    <row r="42" spans="1:6" s="468" customFormat="1" x14ac:dyDescent="0.35">
      <c r="A42" s="1298" t="s">
        <v>2109</v>
      </c>
      <c r="B42" s="1298" t="s">
        <v>8</v>
      </c>
      <c r="C42" s="1298" t="s">
        <v>2003</v>
      </c>
      <c r="D42" s="271">
        <v>34</v>
      </c>
    </row>
    <row r="43" spans="1:6" x14ac:dyDescent="0.35">
      <c r="A43" s="1" t="s">
        <v>2110</v>
      </c>
      <c r="B43" s="1" t="s">
        <v>8</v>
      </c>
      <c r="C43" s="1298" t="s">
        <v>2277</v>
      </c>
      <c r="D43" s="271">
        <v>35</v>
      </c>
    </row>
    <row r="44" spans="1:6" ht="15" customHeight="1" x14ac:dyDescent="0.35">
      <c r="A44" s="1" t="s">
        <v>2111</v>
      </c>
      <c r="B44" s="1" t="s">
        <v>8</v>
      </c>
      <c r="C44" s="1" t="s">
        <v>2278</v>
      </c>
      <c r="D44" s="271">
        <v>35</v>
      </c>
    </row>
    <row r="45" spans="1:6" ht="15" customHeight="1" x14ac:dyDescent="0.35">
      <c r="A45" s="1" t="s">
        <v>2112</v>
      </c>
      <c r="B45" s="1" t="s">
        <v>8</v>
      </c>
      <c r="C45" s="1" t="s">
        <v>2339</v>
      </c>
      <c r="D45" s="271">
        <v>35</v>
      </c>
    </row>
    <row r="46" spans="1:6" s="468" customFormat="1" ht="31" x14ac:dyDescent="0.35">
      <c r="A46" s="1298" t="s">
        <v>2113</v>
      </c>
      <c r="B46" s="1298" t="s">
        <v>8</v>
      </c>
      <c r="C46" s="1298" t="str">
        <f>"Rincian Pendapatan Negara Bukan Pajak "&amp;Input!$M$24&amp;" dan "&amp;Input!$M$25</f>
        <v>Rincian Pendapatan Negara Bukan Pajak 31 Desember 2019 dan 31 Desember 2018</v>
      </c>
      <c r="D46" s="270">
        <v>36</v>
      </c>
      <c r="F46" s="1298"/>
    </row>
    <row r="47" spans="1:6" s="468" customFormat="1" x14ac:dyDescent="0.35">
      <c r="A47" s="1298" t="s">
        <v>2114</v>
      </c>
      <c r="B47" s="1298" t="s">
        <v>8</v>
      </c>
      <c r="C47" s="1298" t="str">
        <f>"Rincian Beban Pegawai "&amp;Input!$M$24&amp;" dan "&amp;Input!$M$25</f>
        <v>Rincian Beban Pegawai 31 Desember 2019 dan 31 Desember 2018</v>
      </c>
      <c r="D47" s="270">
        <v>36</v>
      </c>
      <c r="F47" s="1298"/>
    </row>
    <row r="48" spans="1:6" s="468" customFormat="1" x14ac:dyDescent="0.35">
      <c r="A48" s="1298" t="s">
        <v>2115</v>
      </c>
      <c r="B48" s="1298" t="s">
        <v>8</v>
      </c>
      <c r="C48" s="1298" t="str">
        <f>"Rincian Beban Persediaan "&amp;Input!$M$24&amp;" dan "&amp;Input!$M$25</f>
        <v>Rincian Beban Persediaan 31 Desember 2019 dan 31 Desember 2018</v>
      </c>
      <c r="D48" s="270">
        <v>37</v>
      </c>
      <c r="F48" s="1298"/>
    </row>
    <row r="49" spans="1:6" s="468" customFormat="1" x14ac:dyDescent="0.35">
      <c r="A49" s="1298" t="s">
        <v>2116</v>
      </c>
      <c r="B49" s="1298" t="s">
        <v>8</v>
      </c>
      <c r="C49" s="1298" t="str">
        <f>"Rincian Beban Barang dan Jasa "&amp;Input!$M$24&amp;" dan "&amp;Input!$M$25</f>
        <v>Rincian Beban Barang dan Jasa 31 Desember 2019 dan 31 Desember 2018</v>
      </c>
      <c r="D49" s="270">
        <v>37</v>
      </c>
      <c r="F49" s="1298"/>
    </row>
    <row r="50" spans="1:6" s="468" customFormat="1" x14ac:dyDescent="0.35">
      <c r="A50" s="1300" t="s">
        <v>2117</v>
      </c>
      <c r="B50" s="1300" t="s">
        <v>8</v>
      </c>
      <c r="C50" s="1300" t="str">
        <f>"Rincian Beban Pemeliharaan "&amp;Input!$M$24&amp;" dan "&amp;Input!$M$25</f>
        <v>Rincian Beban Pemeliharaan 31 Desember 2019 dan 31 Desember 2018</v>
      </c>
      <c r="D50" s="1301">
        <v>38</v>
      </c>
      <c r="F50" s="1298"/>
    </row>
    <row r="51" spans="1:6" s="468" customFormat="1" x14ac:dyDescent="0.35">
      <c r="A51" s="1300" t="s">
        <v>2118</v>
      </c>
      <c r="B51" s="1300" t="s">
        <v>8</v>
      </c>
      <c r="C51" s="1300" t="str">
        <f>"Rincian Beban Perjalanan Dinas "&amp;Input!$M$24&amp;" dan "&amp;Input!$M$25</f>
        <v>Rincian Beban Perjalanan Dinas 31 Desember 2019 dan 31 Desember 2018</v>
      </c>
      <c r="D51" s="1301">
        <v>38</v>
      </c>
      <c r="F51" s="1298"/>
    </row>
    <row r="52" spans="1:6" s="468" customFormat="1" ht="16.5" customHeight="1" x14ac:dyDescent="0.35">
      <c r="A52" s="1300" t="s">
        <v>2119</v>
      </c>
      <c r="B52" s="1300" t="s">
        <v>8</v>
      </c>
      <c r="C52" s="1300" t="str">
        <f>'14 calk LO'!B130</f>
        <v xml:space="preserve">Rincian Beban Barang untuk Diserahkan kepada Masyarakat 31 Desember 2019 dan 2018 </v>
      </c>
      <c r="D52" s="1301">
        <v>38</v>
      </c>
      <c r="F52" s="1298"/>
    </row>
    <row r="53" spans="1:6" s="468" customFormat="1" ht="15" customHeight="1" x14ac:dyDescent="0.35">
      <c r="A53" s="1298" t="s">
        <v>2120</v>
      </c>
      <c r="B53" s="1298" t="s">
        <v>8</v>
      </c>
      <c r="C53" s="1298" t="str">
        <f>'14 calk LO'!B144</f>
        <v xml:space="preserve">Rincian Beban Bantuan Sosial 31 Desember 2019 dan 31 Desember 2018 </v>
      </c>
      <c r="D53" s="271">
        <v>39</v>
      </c>
    </row>
    <row r="54" spans="1:6" s="468" customFormat="1" ht="31" x14ac:dyDescent="0.35">
      <c r="A54" s="1298" t="s">
        <v>2121</v>
      </c>
      <c r="B54" s="1298" t="s">
        <v>8</v>
      </c>
      <c r="C54" s="1298" t="str">
        <f>'14 calk LO'!B160</f>
        <v xml:space="preserve">Rincian Beban Penyusutan dan Amortisasi 31 Desember 2019 dan 31 Desember 2018 </v>
      </c>
      <c r="D54" s="270">
        <v>39</v>
      </c>
      <c r="F54" s="1298"/>
    </row>
    <row r="55" spans="1:6" s="468" customFormat="1" x14ac:dyDescent="0.35">
      <c r="A55" s="1298" t="s">
        <v>2122</v>
      </c>
      <c r="B55" s="1298" t="s">
        <v>8</v>
      </c>
      <c r="C55" s="1298" t="str">
        <f>'14 calk LO'!B180</f>
        <v xml:space="preserve">Rincian Beban Penyisihan Piutang Tak Tertagih untuk Tahun 2019 dan 2018 </v>
      </c>
      <c r="D55" s="270">
        <v>39</v>
      </c>
      <c r="F55" s="1298"/>
    </row>
    <row r="56" spans="1:6" s="468" customFormat="1" x14ac:dyDescent="0.35">
      <c r="A56" s="1298" t="s">
        <v>2123</v>
      </c>
      <c r="B56" s="1298" t="s">
        <v>8</v>
      </c>
      <c r="C56" s="1298" t="str">
        <f>'14 calk LO'!B194</f>
        <v xml:space="preserve">Rincian Kegiatan Non Operasional 31 Desember 2019 dan 2018 </v>
      </c>
      <c r="D56" s="270">
        <v>40</v>
      </c>
      <c r="F56" s="1298"/>
    </row>
    <row r="57" spans="1:6" s="468" customFormat="1" x14ac:dyDescent="0.35">
      <c r="A57" s="1298" t="s">
        <v>2124</v>
      </c>
      <c r="B57" s="1300" t="s">
        <v>8</v>
      </c>
      <c r="C57" s="1300" t="str">
        <f>'14 calk LO'!B209</f>
        <v xml:space="preserve">Rincian Pos Luar Biasa 31 Desember 2019 dan 2018 </v>
      </c>
      <c r="D57" s="1301">
        <v>40</v>
      </c>
      <c r="F57" s="1298"/>
    </row>
    <row r="58" spans="1:6" s="468" customFormat="1" x14ac:dyDescent="0.35">
      <c r="A58" s="1300" t="s">
        <v>2125</v>
      </c>
      <c r="B58" s="1300" t="s">
        <v>8</v>
      </c>
      <c r="C58" s="1300" t="str">
        <f>'15 calk LPE'!B35</f>
        <v>Rincian Koreksi Nilai Persediaan</v>
      </c>
      <c r="D58" s="1301">
        <v>41</v>
      </c>
      <c r="F58" s="1298"/>
    </row>
    <row r="59" spans="1:6" s="468" customFormat="1" x14ac:dyDescent="0.35">
      <c r="A59" s="1300" t="s">
        <v>2126</v>
      </c>
      <c r="B59" s="1" t="s">
        <v>8</v>
      </c>
      <c r="C59" s="1" t="s">
        <v>2338</v>
      </c>
      <c r="D59" s="271">
        <v>42</v>
      </c>
      <c r="F59" s="1298"/>
    </row>
    <row r="60" spans="1:6" s="468" customFormat="1" x14ac:dyDescent="0.35">
      <c r="A60" s="1300" t="s">
        <v>2127</v>
      </c>
      <c r="B60" s="1" t="s">
        <v>8</v>
      </c>
      <c r="C60" s="1" t="str">
        <f>'15 calk LPE'!B74</f>
        <v>Rincian Koreksi Lain-lain</v>
      </c>
      <c r="D60" s="271">
        <v>42</v>
      </c>
      <c r="F60" s="1298"/>
    </row>
    <row r="61" spans="1:6" s="468" customFormat="1" x14ac:dyDescent="0.35">
      <c r="A61" s="1300" t="s">
        <v>2279</v>
      </c>
      <c r="B61" s="1407" t="s">
        <v>8</v>
      </c>
      <c r="C61" s="1407" t="s">
        <v>2178</v>
      </c>
      <c r="D61" s="271">
        <v>42</v>
      </c>
      <c r="F61" s="1407"/>
    </row>
    <row r="62" spans="1:6" s="468" customFormat="1" x14ac:dyDescent="0.35">
      <c r="A62" s="1300" t="s">
        <v>2280</v>
      </c>
      <c r="B62" s="1407" t="s">
        <v>8</v>
      </c>
      <c r="C62" s="1407" t="s">
        <v>2337</v>
      </c>
      <c r="D62" s="271">
        <v>43</v>
      </c>
      <c r="F62" s="1407"/>
    </row>
  </sheetData>
  <customSheetViews>
    <customSheetView guid="{EBF27D8D-2DD9-43E5-8C42-19F0B73014F5}" showPageBreaks="1" view="pageBreakPreview">
      <selection activeCell="C18" sqref="C18"/>
      <pageMargins left="0.70866141732283472" right="0.62992125984251968" top="0.74803149606299213" bottom="0.74803149606299213" header="0.31496062992125984" footer="0.31496062992125984"/>
      <pageSetup paperSize="9" orientation="portrait" horizontalDpi="4294967294" r:id="rId1"/>
      <headerFooter>
        <oddHeader>&amp;C</oddHeader>
        <oddFooter>&amp;L&amp;"Calibri,Bold Italic"&amp;U&amp;K0070C0Daftar Tabel&amp;R&amp;"Calibri,Bold Italic"&amp;K0070C0iii</oddFooter>
      </headerFooter>
    </customSheetView>
  </customSheetViews>
  <mergeCells count="3">
    <mergeCell ref="A6:D6"/>
    <mergeCell ref="A3:D4"/>
    <mergeCell ref="A1:D1"/>
  </mergeCells>
  <printOptions horizontalCentered="1"/>
  <pageMargins left="0.31496062992125984" right="0.23622047244094491" top="0.74803149606299213" bottom="0.74803149606299213" header="0.31496062992125984" footer="0.31496062992125984"/>
  <pageSetup paperSize="9" fitToHeight="0" orientation="portrait" horizontalDpi="4294967294" r:id="rId2"/>
  <headerFooter differentFirst="1">
    <oddFooter>&amp;C&amp;"Calibri,Italic"&amp;K03+038iii</oddFooter>
    <firstFooter>&amp;C&amp;"Calibri,Italic"&amp;K03+039iii</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Data_Input</vt:lpstr>
      <vt:lpstr>data</vt:lpstr>
      <vt:lpstr>referensi</vt:lpstr>
      <vt:lpstr>Rekap_Real_per_Akun</vt:lpstr>
      <vt:lpstr>Input</vt:lpstr>
      <vt:lpstr>1 cover</vt:lpstr>
      <vt:lpstr>2 kata</vt:lpstr>
      <vt:lpstr>3 isi</vt:lpstr>
      <vt:lpstr>4 tabel</vt:lpstr>
      <vt:lpstr>5 sor</vt:lpstr>
      <vt:lpstr>6 ringkasan</vt:lpstr>
      <vt:lpstr>7 lra</vt:lpstr>
      <vt:lpstr>8 neraca (PMK.177)</vt:lpstr>
      <vt:lpstr>8 neraca</vt:lpstr>
      <vt:lpstr>9 LO</vt:lpstr>
      <vt:lpstr>10 LPE</vt:lpstr>
      <vt:lpstr>11 calk</vt:lpstr>
      <vt:lpstr>12 calk lra</vt:lpstr>
      <vt:lpstr>13 calk neraca</vt:lpstr>
      <vt:lpstr>14 calk LO</vt:lpstr>
      <vt:lpstr>15 calk LPE</vt:lpstr>
      <vt:lpstr>16 Pengungkapan Lainnya</vt:lpstr>
      <vt:lpstr>lampiran</vt:lpstr>
      <vt:lpstr>Sheet1</vt:lpstr>
      <vt:lpstr>ba</vt:lpstr>
      <vt:lpstr>barang</vt:lpstr>
      <vt:lpstr>eselon1</vt:lpstr>
      <vt:lpstr>jk</vt:lpstr>
      <vt:lpstr>modal</vt:lpstr>
      <vt:lpstr>pegawai</vt:lpstr>
      <vt:lpstr>'10 LPE'!Print_Area</vt:lpstr>
      <vt:lpstr>'11 calk'!Print_Area</vt:lpstr>
      <vt:lpstr>'12 calk lra'!Print_Area</vt:lpstr>
      <vt:lpstr>'13 calk neraca'!Print_Area</vt:lpstr>
      <vt:lpstr>'2 kata'!Print_Area</vt:lpstr>
      <vt:lpstr>'5 sor'!Print_Area</vt:lpstr>
      <vt:lpstr>'6 ringkasan'!Print_Area</vt:lpstr>
      <vt:lpstr>'7 lra'!Print_Area</vt:lpstr>
      <vt:lpstr>'8 neraca'!Print_Area</vt:lpstr>
      <vt:lpstr>'8 neraca (PMK.177)'!Print_Area</vt:lpstr>
      <vt:lpstr>'9 LO'!Print_Area</vt:lpstr>
      <vt:lpstr>'8 neraca'!Print_Titles</vt:lpstr>
      <vt:lpstr>'8 neraca (PMK.177)'!Print_Titles</vt:lpstr>
      <vt:lpstr>'9 LO'!Print_Titles</vt:lpstr>
      <vt:lpstr>satker</vt:lpstr>
    </vt:vector>
  </TitlesOfParts>
  <Company>MAN Pangkalan Bun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MBVY</dc:creator>
  <cp:lastModifiedBy>BPNB_BALI</cp:lastModifiedBy>
  <cp:lastPrinted>2020-02-03T09:16:48Z</cp:lastPrinted>
  <dcterms:created xsi:type="dcterms:W3CDTF">2013-01-12T02:44:48Z</dcterms:created>
  <dcterms:modified xsi:type="dcterms:W3CDTF">2020-04-23T02:55:39Z</dcterms:modified>
</cp:coreProperties>
</file>